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C Tax/"/>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B214" i="16" s="1"/>
  <c r="E213" i="16"/>
  <c r="D213" i="16"/>
  <c r="A213" i="16"/>
  <c r="E212" i="16"/>
  <c r="D212" i="16"/>
  <c r="H212" i="16" s="1"/>
  <c r="A212" i="16"/>
  <c r="E211" i="16"/>
  <c r="D211" i="16"/>
  <c r="A211" i="16"/>
  <c r="E210" i="16"/>
  <c r="D210" i="16"/>
  <c r="A210" i="16"/>
  <c r="B210" i="16" s="1"/>
  <c r="E209" i="16"/>
  <c r="D209" i="16"/>
  <c r="A209" i="16"/>
  <c r="E208" i="16"/>
  <c r="D208" i="16"/>
  <c r="A208" i="16"/>
  <c r="E207" i="16"/>
  <c r="D207" i="16"/>
  <c r="A207" i="16"/>
  <c r="E206" i="16"/>
  <c r="D206" i="16"/>
  <c r="A206" i="16"/>
  <c r="B206" i="16" s="1"/>
  <c r="E205" i="16"/>
  <c r="D205" i="16"/>
  <c r="A205" i="16"/>
  <c r="E204" i="16"/>
  <c r="D204" i="16"/>
  <c r="A204" i="16"/>
  <c r="E203" i="16"/>
  <c r="D203" i="16"/>
  <c r="A203" i="16"/>
  <c r="E202" i="16"/>
  <c r="D202" i="16"/>
  <c r="H202" i="16" s="1"/>
  <c r="I202" i="16" s="1"/>
  <c r="A202" i="16"/>
  <c r="B202" i="16" s="1"/>
  <c r="E201" i="16"/>
  <c r="D201" i="16"/>
  <c r="H201" i="16" s="1"/>
  <c r="A201" i="16"/>
  <c r="E200" i="16"/>
  <c r="D200" i="16"/>
  <c r="A200" i="16"/>
  <c r="E199" i="16"/>
  <c r="D199" i="16"/>
  <c r="H199" i="16" s="1"/>
  <c r="A199" i="16"/>
  <c r="E198" i="16"/>
  <c r="D198" i="16"/>
  <c r="A198" i="16"/>
  <c r="B198" i="16" s="1"/>
  <c r="E197" i="16"/>
  <c r="D197" i="16"/>
  <c r="A197" i="16"/>
  <c r="E196" i="16"/>
  <c r="D196" i="16"/>
  <c r="A196" i="16"/>
  <c r="E195" i="16"/>
  <c r="D195" i="16"/>
  <c r="A195" i="16"/>
  <c r="E194" i="16"/>
  <c r="D194" i="16"/>
  <c r="A194" i="16"/>
  <c r="B194" i="16" s="1"/>
  <c r="E193" i="16"/>
  <c r="D193" i="16"/>
  <c r="A193" i="16"/>
  <c r="E192" i="16"/>
  <c r="D192" i="16"/>
  <c r="A192" i="16"/>
  <c r="E191" i="16"/>
  <c r="D191" i="16"/>
  <c r="A191" i="16"/>
  <c r="E190" i="16"/>
  <c r="D190" i="16"/>
  <c r="H190" i="16" s="1"/>
  <c r="A190" i="16"/>
  <c r="B190" i="16" s="1"/>
  <c r="E189" i="16"/>
  <c r="D189" i="16"/>
  <c r="A189" i="16"/>
  <c r="E188" i="16"/>
  <c r="D188" i="16"/>
  <c r="A188" i="16"/>
  <c r="E187" i="16"/>
  <c r="D187" i="16"/>
  <c r="A187" i="16"/>
  <c r="E186" i="16"/>
  <c r="D186" i="16"/>
  <c r="H186" i="16" s="1"/>
  <c r="A186" i="16"/>
  <c r="B186" i="16" s="1"/>
  <c r="E185" i="16"/>
  <c r="D185" i="16"/>
  <c r="A185" i="16"/>
  <c r="E184" i="16"/>
  <c r="D184" i="16"/>
  <c r="A184" i="16"/>
  <c r="E183" i="16"/>
  <c r="D183" i="16"/>
  <c r="A183" i="16"/>
  <c r="E182" i="16"/>
  <c r="D182" i="16"/>
  <c r="A182" i="16"/>
  <c r="B182" i="16" s="1"/>
  <c r="E181" i="16"/>
  <c r="D181" i="16"/>
  <c r="H181" i="16" s="1"/>
  <c r="A181" i="16"/>
  <c r="E180" i="16"/>
  <c r="D180" i="16"/>
  <c r="H180" i="16" s="1"/>
  <c r="I180" i="16" s="1"/>
  <c r="A180" i="16"/>
  <c r="E179" i="16"/>
  <c r="D179" i="16"/>
  <c r="A179" i="16"/>
  <c r="E178" i="16"/>
  <c r="D178" i="16"/>
  <c r="A178" i="16"/>
  <c r="B178" i="16" s="1"/>
  <c r="E177" i="16"/>
  <c r="D177" i="16"/>
  <c r="H177" i="16" s="1"/>
  <c r="A177" i="16"/>
  <c r="E176" i="16"/>
  <c r="D176" i="16"/>
  <c r="A176" i="16"/>
  <c r="E175" i="16"/>
  <c r="D175" i="16"/>
  <c r="H175" i="16" s="1"/>
  <c r="I175" i="16" s="1"/>
  <c r="A175" i="16"/>
  <c r="E174" i="16"/>
  <c r="D174" i="16"/>
  <c r="A174" i="16"/>
  <c r="B174" i="16" s="1"/>
  <c r="E173" i="16"/>
  <c r="D173" i="16"/>
  <c r="H173" i="16" s="1"/>
  <c r="A173" i="16"/>
  <c r="E172" i="16"/>
  <c r="D172" i="16"/>
  <c r="A172" i="16"/>
  <c r="E171" i="16"/>
  <c r="D171" i="16"/>
  <c r="H171" i="16" s="1"/>
  <c r="I171" i="16" s="1"/>
  <c r="A171" i="16"/>
  <c r="E170" i="16"/>
  <c r="D170" i="16"/>
  <c r="H170" i="16" s="1"/>
  <c r="A170" i="16"/>
  <c r="B170" i="16" s="1"/>
  <c r="E169" i="16"/>
  <c r="D169" i="16"/>
  <c r="H169" i="16" s="1"/>
  <c r="A169" i="16"/>
  <c r="E168" i="16"/>
  <c r="D168" i="16"/>
  <c r="H168" i="16" s="1"/>
  <c r="A168" i="16"/>
  <c r="E167" i="16"/>
  <c r="D167" i="16"/>
  <c r="H167" i="16" s="1"/>
  <c r="A167" i="16"/>
  <c r="E166" i="16"/>
  <c r="D166" i="16"/>
  <c r="A166" i="16"/>
  <c r="B166" i="16" s="1"/>
  <c r="E165" i="16"/>
  <c r="D165" i="16"/>
  <c r="A165" i="16"/>
  <c r="E164" i="16"/>
  <c r="D164" i="16"/>
  <c r="A164" i="16"/>
  <c r="E163" i="16"/>
  <c r="D163" i="16"/>
  <c r="H163" i="16" s="1"/>
  <c r="I163" i="16" s="1"/>
  <c r="A163" i="16"/>
  <c r="E162" i="16"/>
  <c r="D162" i="16"/>
  <c r="H162" i="16" s="1"/>
  <c r="A162" i="16"/>
  <c r="B162" i="16" s="1"/>
  <c r="E161" i="16"/>
  <c r="D161" i="16"/>
  <c r="H161" i="16" s="1"/>
  <c r="A161" i="16"/>
  <c r="E160" i="16"/>
  <c r="D160" i="16"/>
  <c r="H160" i="16" s="1"/>
  <c r="I160" i="16" s="1"/>
  <c r="A160" i="16"/>
  <c r="E159" i="16"/>
  <c r="D159" i="16"/>
  <c r="A159" i="16"/>
  <c r="E158" i="16"/>
  <c r="D158" i="16"/>
  <c r="A158" i="16"/>
  <c r="B158" i="16" s="1"/>
  <c r="E157" i="16"/>
  <c r="D157" i="16"/>
  <c r="A157" i="16"/>
  <c r="E156" i="16"/>
  <c r="D156" i="16"/>
  <c r="A156" i="16"/>
  <c r="E155" i="16"/>
  <c r="D155" i="16"/>
  <c r="H155" i="16" s="1"/>
  <c r="A155" i="16"/>
  <c r="E154" i="16"/>
  <c r="D154" i="16"/>
  <c r="A154" i="16"/>
  <c r="B154" i="16" s="1"/>
  <c r="E153" i="16"/>
  <c r="D153" i="16"/>
  <c r="A153" i="16"/>
  <c r="E152" i="16"/>
  <c r="D152" i="16"/>
  <c r="H152" i="16" s="1"/>
  <c r="A152" i="16"/>
  <c r="E151" i="16"/>
  <c r="D151" i="16"/>
  <c r="A151" i="16"/>
  <c r="E150" i="16"/>
  <c r="D150" i="16"/>
  <c r="A150" i="16"/>
  <c r="B150" i="16" s="1"/>
  <c r="E149" i="16"/>
  <c r="D149" i="16"/>
  <c r="H149" i="16" s="1"/>
  <c r="I149" i="16" s="1"/>
  <c r="A149" i="16"/>
  <c r="E148" i="16"/>
  <c r="D148" i="16"/>
  <c r="A148" i="16"/>
  <c r="E147" i="16"/>
  <c r="D147" i="16"/>
  <c r="H147" i="16" s="1"/>
  <c r="A147" i="16"/>
  <c r="E146" i="16"/>
  <c r="D146" i="16"/>
  <c r="A146" i="16"/>
  <c r="B146" i="16" s="1"/>
  <c r="E145" i="16"/>
  <c r="D145" i="16"/>
  <c r="A145" i="16"/>
  <c r="E144" i="16"/>
  <c r="D144" i="16"/>
  <c r="A144" i="16"/>
  <c r="E143" i="16"/>
  <c r="D143" i="16"/>
  <c r="A143" i="16"/>
  <c r="E142" i="16"/>
  <c r="D142" i="16"/>
  <c r="H142" i="16" s="1"/>
  <c r="A142" i="16"/>
  <c r="B142" i="16" s="1"/>
  <c r="E141" i="16"/>
  <c r="D141" i="16"/>
  <c r="A141" i="16"/>
  <c r="E140" i="16"/>
  <c r="D140" i="16"/>
  <c r="A140" i="16"/>
  <c r="E139" i="16"/>
  <c r="D139" i="16"/>
  <c r="H139" i="16" s="1"/>
  <c r="A139" i="16"/>
  <c r="E138" i="16"/>
  <c r="D138" i="16"/>
  <c r="A138" i="16"/>
  <c r="B138" i="16" s="1"/>
  <c r="E137" i="16"/>
  <c r="D137" i="16"/>
  <c r="H137" i="16" s="1"/>
  <c r="I137" i="16" s="1"/>
  <c r="A137" i="16"/>
  <c r="E136" i="16"/>
  <c r="D136" i="16"/>
  <c r="H136" i="16" s="1"/>
  <c r="A136" i="16"/>
  <c r="E135" i="16"/>
  <c r="D135" i="16"/>
  <c r="A135" i="16"/>
  <c r="E134" i="16"/>
  <c r="D134" i="16"/>
  <c r="A134" i="16"/>
  <c r="B134" i="16" s="1"/>
  <c r="E133" i="16"/>
  <c r="D133" i="16"/>
  <c r="H133" i="16" s="1"/>
  <c r="A133" i="16"/>
  <c r="E132" i="16"/>
  <c r="D132" i="16"/>
  <c r="A132" i="16"/>
  <c r="E131" i="16"/>
  <c r="D131" i="16"/>
  <c r="H131" i="16" s="1"/>
  <c r="A131" i="16"/>
  <c r="E130" i="16"/>
  <c r="D130" i="16"/>
  <c r="A130" i="16"/>
  <c r="B130" i="16" s="1"/>
  <c r="E129" i="16"/>
  <c r="D129" i="16"/>
  <c r="A129" i="16"/>
  <c r="E128" i="16"/>
  <c r="D128" i="16"/>
  <c r="A128" i="16"/>
  <c r="E127" i="16"/>
  <c r="D127" i="16"/>
  <c r="A127" i="16"/>
  <c r="E126" i="16"/>
  <c r="D126" i="16"/>
  <c r="A126" i="16"/>
  <c r="B126" i="16" s="1"/>
  <c r="E125" i="16"/>
  <c r="D125" i="16"/>
  <c r="A125" i="16"/>
  <c r="E124" i="16"/>
  <c r="D124" i="16"/>
  <c r="A124" i="16"/>
  <c r="E123" i="16"/>
  <c r="D123" i="16"/>
  <c r="A123" i="16"/>
  <c r="E122" i="16"/>
  <c r="D122" i="16"/>
  <c r="A122" i="16"/>
  <c r="B122" i="16" s="1"/>
  <c r="E121" i="16"/>
  <c r="D121" i="16"/>
  <c r="A121" i="16"/>
  <c r="E120" i="16"/>
  <c r="D120" i="16"/>
  <c r="A120" i="16"/>
  <c r="E119" i="16"/>
  <c r="D119" i="16"/>
  <c r="A119" i="16"/>
  <c r="E118" i="16"/>
  <c r="D118" i="16"/>
  <c r="A118" i="16"/>
  <c r="B118" i="16" s="1"/>
  <c r="E117" i="16"/>
  <c r="D117" i="16"/>
  <c r="A117" i="16"/>
  <c r="E116" i="16"/>
  <c r="D116" i="16"/>
  <c r="A116" i="16"/>
  <c r="E115" i="16"/>
  <c r="D115" i="16"/>
  <c r="A115" i="16"/>
  <c r="E114" i="16"/>
  <c r="D114" i="16"/>
  <c r="A114" i="16"/>
  <c r="B114" i="16" s="1"/>
  <c r="E113" i="16"/>
  <c r="D113" i="16"/>
  <c r="A113" i="16"/>
  <c r="E112" i="16"/>
  <c r="D112" i="16"/>
  <c r="A112" i="16"/>
  <c r="E111" i="16"/>
  <c r="D111" i="16"/>
  <c r="A111" i="16"/>
  <c r="E110" i="16"/>
  <c r="D110" i="16"/>
  <c r="A110" i="16"/>
  <c r="B110" i="16" s="1"/>
  <c r="E109" i="16"/>
  <c r="D109" i="16"/>
  <c r="A109" i="16"/>
  <c r="E108" i="16"/>
  <c r="D108" i="16"/>
  <c r="A108" i="16"/>
  <c r="E107" i="16"/>
  <c r="D107" i="16"/>
  <c r="A107" i="16"/>
  <c r="E106" i="16"/>
  <c r="D106" i="16"/>
  <c r="A106" i="16"/>
  <c r="B106" i="16" s="1"/>
  <c r="E105" i="16"/>
  <c r="D105" i="16"/>
  <c r="A105" i="16"/>
  <c r="E104" i="16"/>
  <c r="D104" i="16"/>
  <c r="A104" i="16"/>
  <c r="E103" i="16"/>
  <c r="D103" i="16"/>
  <c r="A103" i="16"/>
  <c r="E102" i="16"/>
  <c r="D102" i="16"/>
  <c r="A102" i="16"/>
  <c r="B102" i="16" s="1"/>
  <c r="E101" i="16"/>
  <c r="D101" i="16"/>
  <c r="A101" i="16"/>
  <c r="E100" i="16"/>
  <c r="D100" i="16"/>
  <c r="A100" i="16"/>
  <c r="E99" i="16"/>
  <c r="D99" i="16"/>
  <c r="A99" i="16"/>
  <c r="E98" i="16"/>
  <c r="D98" i="16"/>
  <c r="A98" i="16"/>
  <c r="B98" i="16" s="1"/>
  <c r="E97" i="16"/>
  <c r="D97" i="16"/>
  <c r="A97" i="16"/>
  <c r="E96" i="16"/>
  <c r="D96" i="16"/>
  <c r="A96" i="16"/>
  <c r="E95" i="16"/>
  <c r="D95" i="16"/>
  <c r="A95" i="16"/>
  <c r="E94" i="16"/>
  <c r="D94" i="16"/>
  <c r="A94" i="16"/>
  <c r="B94" i="16" s="1"/>
  <c r="E93" i="16"/>
  <c r="D93" i="16"/>
  <c r="A93" i="16"/>
  <c r="E92" i="16"/>
  <c r="D92" i="16"/>
  <c r="A92" i="16"/>
  <c r="E91" i="16"/>
  <c r="D91" i="16"/>
  <c r="A91" i="16"/>
  <c r="E90" i="16"/>
  <c r="D90" i="16"/>
  <c r="A90" i="16"/>
  <c r="B90" i="16" s="1"/>
  <c r="E89" i="16"/>
  <c r="D89" i="16"/>
  <c r="A89" i="16"/>
  <c r="E88" i="16"/>
  <c r="D88" i="16"/>
  <c r="A88" i="16"/>
  <c r="E87" i="16"/>
  <c r="D87" i="16"/>
  <c r="A87" i="16"/>
  <c r="E86" i="16"/>
  <c r="D86" i="16"/>
  <c r="A86" i="16"/>
  <c r="B86" i="16" s="1"/>
  <c r="E85" i="16"/>
  <c r="D85" i="16"/>
  <c r="A85" i="16"/>
  <c r="E84" i="16"/>
  <c r="D84" i="16"/>
  <c r="A84" i="16"/>
  <c r="E83" i="16"/>
  <c r="D83" i="16"/>
  <c r="A83" i="16"/>
  <c r="E82" i="16"/>
  <c r="D82" i="16"/>
  <c r="A82" i="16"/>
  <c r="B82" i="16" s="1"/>
  <c r="E81" i="16"/>
  <c r="D81" i="16"/>
  <c r="A81" i="16"/>
  <c r="E80" i="16"/>
  <c r="D80" i="16"/>
  <c r="A80" i="16"/>
  <c r="E79" i="16"/>
  <c r="D79" i="16"/>
  <c r="A79" i="16"/>
  <c r="E78" i="16"/>
  <c r="D78" i="16"/>
  <c r="A78" i="16"/>
  <c r="B78" i="16" s="1"/>
  <c r="E77" i="16"/>
  <c r="D77" i="16"/>
  <c r="A77" i="16"/>
  <c r="E76" i="16"/>
  <c r="D76" i="16"/>
  <c r="A76" i="16"/>
  <c r="E75" i="16"/>
  <c r="D75" i="16"/>
  <c r="A75" i="16"/>
  <c r="E74" i="16"/>
  <c r="D74" i="16"/>
  <c r="A74" i="16"/>
  <c r="B74" i="16" s="1"/>
  <c r="E73" i="16"/>
  <c r="D73" i="16"/>
  <c r="A73" i="16"/>
  <c r="E72" i="16"/>
  <c r="D72" i="16"/>
  <c r="A72" i="16"/>
  <c r="E71" i="16"/>
  <c r="D71" i="16"/>
  <c r="A71" i="16"/>
  <c r="E70" i="16"/>
  <c r="D70" i="16"/>
  <c r="A70" i="16"/>
  <c r="B70" i="16" s="1"/>
  <c r="E69" i="16"/>
  <c r="D69" i="16"/>
  <c r="A69" i="16"/>
  <c r="E68" i="16"/>
  <c r="D68" i="16"/>
  <c r="A68" i="16"/>
  <c r="E67" i="16"/>
  <c r="D67" i="16"/>
  <c r="A67" i="16"/>
  <c r="E66" i="16"/>
  <c r="D66" i="16"/>
  <c r="A66" i="16"/>
  <c r="B66" i="16" s="1"/>
  <c r="E65" i="16"/>
  <c r="D65" i="16"/>
  <c r="A65" i="16"/>
  <c r="E64" i="16"/>
  <c r="D64" i="16"/>
  <c r="A64" i="16"/>
  <c r="E63" i="16"/>
  <c r="D63" i="16"/>
  <c r="A63" i="16"/>
  <c r="E62" i="16"/>
  <c r="D62" i="16"/>
  <c r="A62" i="16"/>
  <c r="B62" i="16" s="1"/>
  <c r="E61" i="16"/>
  <c r="D61" i="16"/>
  <c r="A61" i="16"/>
  <c r="E60" i="16"/>
  <c r="D60" i="16"/>
  <c r="A60" i="16"/>
  <c r="E59" i="16"/>
  <c r="D59" i="16"/>
  <c r="A59" i="16"/>
  <c r="E58" i="16"/>
  <c r="D58" i="16"/>
  <c r="A58" i="16"/>
  <c r="B58" i="16" s="1"/>
  <c r="E57" i="16"/>
  <c r="D57" i="16"/>
  <c r="A57" i="16"/>
  <c r="E56" i="16"/>
  <c r="D56" i="16"/>
  <c r="A56" i="16"/>
  <c r="E55" i="16"/>
  <c r="D55" i="16"/>
  <c r="A55" i="16"/>
  <c r="E54" i="16"/>
  <c r="D54" i="16"/>
  <c r="A54" i="16"/>
  <c r="B54" i="16" s="1"/>
  <c r="E53" i="16"/>
  <c r="D53" i="16"/>
  <c r="A53" i="16"/>
  <c r="E52" i="16"/>
  <c r="D52" i="16"/>
  <c r="A52" i="16"/>
  <c r="E51" i="16"/>
  <c r="D51" i="16"/>
  <c r="A51" i="16"/>
  <c r="E50" i="16"/>
  <c r="D50" i="16"/>
  <c r="A50" i="16"/>
  <c r="B50" i="16" s="1"/>
  <c r="E49" i="16"/>
  <c r="D49" i="16"/>
  <c r="A49" i="16"/>
  <c r="E48" i="16"/>
  <c r="D48" i="16"/>
  <c r="A48" i="16"/>
  <c r="E47" i="16"/>
  <c r="D47" i="16"/>
  <c r="A47" i="16"/>
  <c r="E46" i="16"/>
  <c r="D46" i="16"/>
  <c r="A46" i="16"/>
  <c r="B46" i="16" s="1"/>
  <c r="E45" i="16"/>
  <c r="D45" i="16"/>
  <c r="A45" i="16"/>
  <c r="E44" i="16"/>
  <c r="D44" i="16"/>
  <c r="A44" i="16"/>
  <c r="E43" i="16"/>
  <c r="D43" i="16"/>
  <c r="A43" i="16"/>
  <c r="E42" i="16"/>
  <c r="D42" i="16"/>
  <c r="A42" i="16"/>
  <c r="B42" i="16" s="1"/>
  <c r="E41" i="16"/>
  <c r="D41" i="16"/>
  <c r="A41" i="16"/>
  <c r="E40" i="16"/>
  <c r="D40" i="16"/>
  <c r="A40" i="16"/>
  <c r="E39" i="16"/>
  <c r="D39" i="16"/>
  <c r="A39" i="16"/>
  <c r="E38" i="16"/>
  <c r="D38" i="16"/>
  <c r="A38" i="16"/>
  <c r="B38" i="16" s="1"/>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E33" i="16"/>
  <c r="D33" i="16"/>
  <c r="A33" i="16"/>
  <c r="B33" i="16" s="1"/>
  <c r="E32" i="16"/>
  <c r="D32" i="16"/>
  <c r="A32" i="16"/>
  <c r="E31" i="16"/>
  <c r="D31" i="16"/>
  <c r="A31" i="16"/>
  <c r="E30" i="16"/>
  <c r="D30" i="16"/>
  <c r="A30" i="16"/>
  <c r="E29" i="16"/>
  <c r="D29" i="16"/>
  <c r="A29" i="16"/>
  <c r="B29" i="16" s="1"/>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41" i="16" l="1"/>
  <c r="B45" i="16"/>
  <c r="B53" i="16"/>
  <c r="B61" i="16"/>
  <c r="B65" i="16"/>
  <c r="B73"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3" i="16"/>
  <c r="B15" i="16"/>
  <c r="B17" i="16"/>
  <c r="B20" i="16"/>
  <c r="B28" i="16"/>
  <c r="B32" i="16"/>
  <c r="B37" i="16"/>
  <c r="B49" i="16"/>
  <c r="B57" i="16"/>
  <c r="B69" i="16"/>
  <c r="B77" i="16"/>
  <c r="B14" i="16"/>
  <c r="B16" i="16"/>
  <c r="B18" i="16"/>
  <c r="B19" i="16"/>
  <c r="B21" i="16"/>
  <c r="B24" i="16"/>
  <c r="B25" i="16"/>
  <c r="B27" i="16"/>
  <c r="B35" i="16"/>
  <c r="B36" i="16"/>
  <c r="B44" i="16"/>
  <c r="B52" i="16"/>
  <c r="B60" i="16"/>
  <c r="B72" i="16"/>
  <c r="B76" i="16"/>
  <c r="B84" i="16"/>
  <c r="B88" i="16"/>
  <c r="B96" i="16"/>
  <c r="B104" i="16"/>
  <c r="B108" i="16"/>
  <c r="B112" i="16"/>
  <c r="B120" i="16"/>
  <c r="B124" i="16"/>
  <c r="B128" i="16"/>
  <c r="B132" i="16"/>
  <c r="B136" i="16"/>
  <c r="B140" i="16"/>
  <c r="B144" i="16"/>
  <c r="B148" i="16"/>
  <c r="B168" i="16"/>
  <c r="B172" i="16"/>
  <c r="B176" i="16"/>
  <c r="B180" i="16"/>
  <c r="B184" i="16"/>
  <c r="B188" i="16"/>
  <c r="B196" i="16"/>
  <c r="B200" i="16"/>
  <c r="B204" i="16"/>
  <c r="B208" i="16"/>
  <c r="B212" i="16"/>
  <c r="B216"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3" i="16"/>
  <c r="B26" i="16"/>
  <c r="B31" i="16"/>
  <c r="B40" i="16"/>
  <c r="B48" i="16"/>
  <c r="B56" i="16"/>
  <c r="B64" i="16"/>
  <c r="B68" i="16"/>
  <c r="B80" i="16"/>
  <c r="B92" i="16"/>
  <c r="B100" i="16"/>
  <c r="B116" i="16"/>
  <c r="B152" i="16"/>
  <c r="B156" i="16"/>
  <c r="B160" i="16"/>
  <c r="B164" i="16"/>
  <c r="B192"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AX16" i="16"/>
  <c r="F16" i="16" s="1"/>
  <c r="AX18" i="16"/>
  <c r="F18" i="16" s="1"/>
  <c r="AX20" i="16"/>
  <c r="H20" i="16" s="1"/>
  <c r="AX22" i="16"/>
  <c r="H22" i="16" s="1"/>
  <c r="AX24" i="16"/>
  <c r="AX26" i="16"/>
  <c r="AX28" i="16"/>
  <c r="H28" i="16" s="1"/>
  <c r="AX30" i="16"/>
  <c r="F30" i="16" s="1"/>
  <c r="AX32" i="16"/>
  <c r="AX34" i="16"/>
  <c r="H34" i="16" s="1"/>
  <c r="AX36" i="16"/>
  <c r="AX38" i="16"/>
  <c r="H38" i="16" s="1"/>
  <c r="AX40" i="16"/>
  <c r="AX42" i="16"/>
  <c r="F42" i="16" s="1"/>
  <c r="AX44" i="16"/>
  <c r="AX46" i="16"/>
  <c r="H46" i="16" s="1"/>
  <c r="AX48" i="16"/>
  <c r="AX50" i="16"/>
  <c r="H50" i="16" s="1"/>
  <c r="AX52" i="16"/>
  <c r="H52" i="16" s="1"/>
  <c r="AX54" i="16"/>
  <c r="F54" i="16" s="1"/>
  <c r="AX56" i="16"/>
  <c r="H56" i="16" s="1"/>
  <c r="AX58" i="16"/>
  <c r="H58" i="16" s="1"/>
  <c r="AX60" i="16"/>
  <c r="F60" i="16" s="1"/>
  <c r="AX62" i="16"/>
  <c r="H62" i="16" s="1"/>
  <c r="AX64" i="16"/>
  <c r="AX66" i="16"/>
  <c r="AX68" i="16"/>
  <c r="F68" i="16" s="1"/>
  <c r="AX70" i="16"/>
  <c r="AX72" i="16"/>
  <c r="F72" i="16" s="1"/>
  <c r="AX74" i="16"/>
  <c r="AX76" i="16"/>
  <c r="F76" i="16" s="1"/>
  <c r="AX78" i="16"/>
  <c r="AX80" i="16"/>
  <c r="AX82" i="16"/>
  <c r="H82" i="16" s="1"/>
  <c r="AX84" i="16"/>
  <c r="H84" i="16" s="1"/>
  <c r="AX86" i="16"/>
  <c r="AX88" i="16"/>
  <c r="F88" i="16" s="1"/>
  <c r="AX90" i="16"/>
  <c r="AX92" i="16"/>
  <c r="F92" i="16" s="1"/>
  <c r="AX94" i="16"/>
  <c r="H94" i="16" s="1"/>
  <c r="AX96" i="16"/>
  <c r="F96" i="16" s="1"/>
  <c r="AX98" i="16"/>
  <c r="H98" i="16" s="1"/>
  <c r="AX100" i="16"/>
  <c r="F100" i="16" s="1"/>
  <c r="AX102" i="16"/>
  <c r="H102" i="16" s="1"/>
  <c r="AX104" i="16"/>
  <c r="F104" i="16" s="1"/>
  <c r="AX106" i="16"/>
  <c r="AX108" i="16"/>
  <c r="H108" i="16" s="1"/>
  <c r="AX110" i="16"/>
  <c r="AX112" i="16"/>
  <c r="F112" i="16" s="1"/>
  <c r="AX114" i="16"/>
  <c r="F114" i="16" s="1"/>
  <c r="AX116" i="16"/>
  <c r="F116" i="16" s="1"/>
  <c r="AX118" i="16"/>
  <c r="H118" i="16" s="1"/>
  <c r="AX120" i="16"/>
  <c r="F120" i="16" s="1"/>
  <c r="AX122" i="16"/>
  <c r="H122" i="16" s="1"/>
  <c r="AX124" i="16"/>
  <c r="H124" i="16" s="1"/>
  <c r="AX126" i="16"/>
  <c r="F126" i="16" s="1"/>
  <c r="AX128" i="16"/>
  <c r="F128" i="16" s="1"/>
  <c r="AX130" i="16"/>
  <c r="AX132" i="16"/>
  <c r="F132" i="16" s="1"/>
  <c r="AX134" i="16"/>
  <c r="AX136" i="16"/>
  <c r="AX138" i="16"/>
  <c r="F138" i="16" s="1"/>
  <c r="AX140" i="16"/>
  <c r="F140" i="16" s="1"/>
  <c r="AX142" i="16"/>
  <c r="AX144" i="16"/>
  <c r="AX146" i="16"/>
  <c r="F146" i="16" s="1"/>
  <c r="AX148" i="16"/>
  <c r="AX150" i="16"/>
  <c r="AX152" i="16"/>
  <c r="AX154" i="16"/>
  <c r="F154" i="16" s="1"/>
  <c r="AX156" i="16"/>
  <c r="AX158" i="16"/>
  <c r="AX160" i="16"/>
  <c r="F160" i="16" s="1"/>
  <c r="AX162" i="16"/>
  <c r="F162" i="16" s="1"/>
  <c r="AX164" i="16"/>
  <c r="F164" i="16" s="1"/>
  <c r="AX166" i="16"/>
  <c r="AX168" i="16"/>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AX25" i="16"/>
  <c r="H25" i="16" s="1"/>
  <c r="AX27" i="16"/>
  <c r="AX29" i="16"/>
  <c r="H29" i="16" s="1"/>
  <c r="AX31" i="16"/>
  <c r="AX33" i="16"/>
  <c r="F33" i="16" s="1"/>
  <c r="AX35" i="16"/>
  <c r="F35" i="16" s="1"/>
  <c r="AX37" i="16"/>
  <c r="AX39" i="16"/>
  <c r="AX41" i="16"/>
  <c r="H41" i="16" s="1"/>
  <c r="AX43" i="16"/>
  <c r="AX45" i="16"/>
  <c r="AX47" i="16"/>
  <c r="AX49" i="16"/>
  <c r="F49" i="16" s="1"/>
  <c r="AX51" i="16"/>
  <c r="AX53" i="16"/>
  <c r="H53" i="16" s="1"/>
  <c r="AX55" i="16"/>
  <c r="H55" i="16" s="1"/>
  <c r="AX57" i="16"/>
  <c r="F57" i="16" s="1"/>
  <c r="AX59" i="16"/>
  <c r="F59" i="16" s="1"/>
  <c r="AX61" i="16"/>
  <c r="AX63" i="16"/>
  <c r="F63" i="16" s="1"/>
  <c r="AX65" i="16"/>
  <c r="H65" i="16" s="1"/>
  <c r="AX67" i="16"/>
  <c r="AX69" i="16"/>
  <c r="AX71" i="16"/>
  <c r="F71" i="16" s="1"/>
  <c r="AX73" i="16"/>
  <c r="H73" i="16" s="1"/>
  <c r="AX75" i="16"/>
  <c r="AX77" i="16"/>
  <c r="H77" i="16" s="1"/>
  <c r="AX79" i="16"/>
  <c r="AX81" i="16"/>
  <c r="H81" i="16" s="1"/>
  <c r="AX83" i="16"/>
  <c r="F83" i="16" s="1"/>
  <c r="AX85" i="16"/>
  <c r="H85" i="16" s="1"/>
  <c r="AX87" i="16"/>
  <c r="AX89" i="16"/>
  <c r="F89" i="16" s="1"/>
  <c r="AX91" i="16"/>
  <c r="H91" i="16" s="1"/>
  <c r="AX93" i="16"/>
  <c r="H93" i="16" s="1"/>
  <c r="AX95" i="16"/>
  <c r="H95" i="16" s="1"/>
  <c r="AX97" i="16"/>
  <c r="H97" i="16" s="1"/>
  <c r="AX99" i="16"/>
  <c r="F99" i="16" s="1"/>
  <c r="AX101" i="16"/>
  <c r="F101" i="16" s="1"/>
  <c r="AX103" i="16"/>
  <c r="F103" i="16" s="1"/>
  <c r="AX105" i="16"/>
  <c r="F105" i="16" s="1"/>
  <c r="AX107" i="16"/>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AX135" i="16"/>
  <c r="AX137" i="16"/>
  <c r="F137" i="16" s="1"/>
  <c r="AX139" i="16"/>
  <c r="F139" i="16" s="1"/>
  <c r="AX141" i="16"/>
  <c r="F141" i="16" s="1"/>
  <c r="AX143" i="16"/>
  <c r="F143" i="16" s="1"/>
  <c r="AX145" i="16"/>
  <c r="F145" i="16" s="1"/>
  <c r="AX147" i="16"/>
  <c r="F147" i="16" s="1"/>
  <c r="AX149" i="16"/>
  <c r="F149" i="16" s="1"/>
  <c r="AX151" i="16"/>
  <c r="AX153" i="16"/>
  <c r="F153" i="16" s="1"/>
  <c r="AX155" i="16"/>
  <c r="F155" i="16" s="1"/>
  <c r="AX157" i="16"/>
  <c r="F157" i="16" s="1"/>
  <c r="AX159" i="16"/>
  <c r="AX161" i="16"/>
  <c r="F161" i="16" s="1"/>
  <c r="AX163" i="16"/>
  <c r="F163" i="16" s="1"/>
  <c r="AX165" i="16"/>
  <c r="AX167" i="16"/>
  <c r="AX169" i="16"/>
  <c r="F169" i="16" s="1"/>
  <c r="AX171" i="16"/>
  <c r="F171" i="16" s="1"/>
  <c r="AX173" i="16"/>
  <c r="F173" i="16" s="1"/>
  <c r="AX175" i="16"/>
  <c r="AX177" i="16"/>
  <c r="F177" i="16" s="1"/>
  <c r="AX179" i="16"/>
  <c r="AX181" i="16"/>
  <c r="F181" i="16" s="1"/>
  <c r="AX182" i="16"/>
  <c r="AX184" i="16"/>
  <c r="F184" i="16" s="1"/>
  <c r="AX186" i="16"/>
  <c r="F186" i="16" s="1"/>
  <c r="AX188" i="16"/>
  <c r="F188" i="16" s="1"/>
  <c r="AX190" i="16"/>
  <c r="F190" i="16" s="1"/>
  <c r="AX192" i="16"/>
  <c r="F192" i="16" s="1"/>
  <c r="AX194" i="16"/>
  <c r="AX196" i="16"/>
  <c r="AX198" i="16"/>
  <c r="AX200" i="16"/>
  <c r="F200" i="16" s="1"/>
  <c r="AX202" i="16"/>
  <c r="F202" i="16" s="1"/>
  <c r="AX204" i="16"/>
  <c r="F204" i="16" s="1"/>
  <c r="AX206" i="16"/>
  <c r="AX208" i="16"/>
  <c r="F208" i="16" s="1"/>
  <c r="AX210" i="16"/>
  <c r="F210" i="16" s="1"/>
  <c r="AX212" i="16"/>
  <c r="F212" i="16" s="1"/>
  <c r="AX214" i="16"/>
  <c r="F214" i="16" s="1"/>
  <c r="AX216" i="16"/>
  <c r="F216" i="16" s="1"/>
  <c r="AX218" i="16"/>
  <c r="AX220" i="16"/>
  <c r="AX222" i="16"/>
  <c r="AX224" i="16"/>
  <c r="F224" i="16" s="1"/>
  <c r="AX226" i="16"/>
  <c r="F226" i="16" s="1"/>
  <c r="AX228" i="16"/>
  <c r="AX230" i="16"/>
  <c r="AX232" i="16"/>
  <c r="F232" i="16" s="1"/>
  <c r="AX234" i="16"/>
  <c r="F234" i="16" s="1"/>
  <c r="AX236" i="16"/>
  <c r="F236" i="16" s="1"/>
  <c r="AX238" i="16"/>
  <c r="AX240" i="16"/>
  <c r="F240" i="16" s="1"/>
  <c r="AX242" i="16"/>
  <c r="F242" i="16" s="1"/>
  <c r="AX244" i="16"/>
  <c r="F244" i="16" s="1"/>
  <c r="AX246" i="16"/>
  <c r="AX248" i="16"/>
  <c r="F248" i="16" s="1"/>
  <c r="AX250" i="16"/>
  <c r="AX252" i="16"/>
  <c r="F252" i="16" s="1"/>
  <c r="AX254" i="16"/>
  <c r="F254" i="16" s="1"/>
  <c r="AX256" i="16"/>
  <c r="F256" i="16" s="1"/>
  <c r="AX258" i="16"/>
  <c r="AX260" i="16"/>
  <c r="AX262" i="16"/>
  <c r="AX264" i="16"/>
  <c r="F264" i="16" s="1"/>
  <c r="AX266" i="16"/>
  <c r="F266" i="16" s="1"/>
  <c r="AX268" i="16"/>
  <c r="AX270" i="16"/>
  <c r="F270" i="16" s="1"/>
  <c r="AX272" i="16"/>
  <c r="F272" i="16" s="1"/>
  <c r="AX274" i="16"/>
  <c r="F274" i="16" s="1"/>
  <c r="AX276" i="16"/>
  <c r="F276" i="16" s="1"/>
  <c r="AX278" i="16"/>
  <c r="AX280" i="16"/>
  <c r="AX282" i="16"/>
  <c r="F282" i="16" s="1"/>
  <c r="AX284" i="16"/>
  <c r="F284" i="16" s="1"/>
  <c r="AX286" i="16"/>
  <c r="F286" i="16" s="1"/>
  <c r="AX288" i="16"/>
  <c r="F288" i="16" s="1"/>
  <c r="AX290" i="16"/>
  <c r="F290" i="16" s="1"/>
  <c r="AX292" i="16"/>
  <c r="AX294" i="16"/>
  <c r="AX296" i="16"/>
  <c r="F296" i="16" s="1"/>
  <c r="AX298" i="16"/>
  <c r="F298" i="16" s="1"/>
  <c r="AX300" i="16"/>
  <c r="F300" i="16" s="1"/>
  <c r="AX302" i="16"/>
  <c r="H302" i="16" s="1"/>
  <c r="AX304" i="16"/>
  <c r="F304" i="16" s="1"/>
  <c r="AX306" i="16"/>
  <c r="F306" i="16" s="1"/>
  <c r="AX308" i="16"/>
  <c r="AX310" i="16"/>
  <c r="F310" i="16" s="1"/>
  <c r="AX312" i="16"/>
  <c r="F312" i="16" s="1"/>
  <c r="AX314" i="16"/>
  <c r="AX316" i="16"/>
  <c r="AX318" i="16"/>
  <c r="AX320" i="16"/>
  <c r="F320" i="16" s="1"/>
  <c r="AX322" i="16"/>
  <c r="F322" i="16" s="1"/>
  <c r="AX324" i="16"/>
  <c r="F324" i="16" s="1"/>
  <c r="AX326" i="16"/>
  <c r="AX328" i="16"/>
  <c r="F328" i="16" s="1"/>
  <c r="AX330" i="16"/>
  <c r="F330" i="16" s="1"/>
  <c r="AX332" i="16"/>
  <c r="F332" i="16" s="1"/>
  <c r="AX334" i="16"/>
  <c r="F334" i="16" s="1"/>
  <c r="AX336" i="16"/>
  <c r="F336" i="16" s="1"/>
  <c r="AX338" i="16"/>
  <c r="AX340" i="16"/>
  <c r="F340" i="16" s="1"/>
  <c r="AX342" i="16"/>
  <c r="H342" i="16" s="1"/>
  <c r="AX344" i="16"/>
  <c r="F344" i="16" s="1"/>
  <c r="AX346" i="16"/>
  <c r="F346" i="16" s="1"/>
  <c r="AX348" i="16"/>
  <c r="F348" i="16" s="1"/>
  <c r="AX350" i="16"/>
  <c r="H350" i="16" s="1"/>
  <c r="AX352" i="16"/>
  <c r="F352" i="16" s="1"/>
  <c r="AX183" i="16"/>
  <c r="F183" i="16" s="1"/>
  <c r="AX185" i="16"/>
  <c r="F185" i="16" s="1"/>
  <c r="AX187" i="16"/>
  <c r="H187" i="16" s="1"/>
  <c r="AX189" i="16"/>
  <c r="F189" i="16" s="1"/>
  <c r="AX191" i="16"/>
  <c r="H191" i="16" s="1"/>
  <c r="AX193" i="16"/>
  <c r="AX195" i="16"/>
  <c r="AX197" i="16"/>
  <c r="F197" i="16" s="1"/>
  <c r="AX199" i="16"/>
  <c r="F199" i="16" s="1"/>
  <c r="AX201" i="16"/>
  <c r="AX203" i="16"/>
  <c r="H203" i="16" s="1"/>
  <c r="AX205" i="16"/>
  <c r="F205" i="16" s="1"/>
  <c r="AX207" i="16"/>
  <c r="H207" i="16" s="1"/>
  <c r="AX209" i="16"/>
  <c r="AX211" i="16"/>
  <c r="AX213" i="16"/>
  <c r="F213" i="16" s="1"/>
  <c r="AX215" i="16"/>
  <c r="F215" i="16" s="1"/>
  <c r="AX217" i="16"/>
  <c r="F217" i="16" s="1"/>
  <c r="AX219" i="16"/>
  <c r="F219" i="16" s="1"/>
  <c r="AX221" i="16"/>
  <c r="F221" i="16" s="1"/>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F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F269" i="16" s="1"/>
  <c r="AX271" i="16"/>
  <c r="H271" i="16" s="1"/>
  <c r="AX273" i="16"/>
  <c r="AX275" i="16"/>
  <c r="H275" i="16" s="1"/>
  <c r="AX277" i="16"/>
  <c r="AX279" i="16"/>
  <c r="F279" i="16" s="1"/>
  <c r="AX281" i="16"/>
  <c r="AX283" i="16"/>
  <c r="H283" i="16" s="1"/>
  <c r="AX285" i="16"/>
  <c r="F285" i="16" s="1"/>
  <c r="AX287" i="16"/>
  <c r="H287" i="16" s="1"/>
  <c r="AX289" i="16"/>
  <c r="F289" i="16" s="1"/>
  <c r="AX291" i="16"/>
  <c r="F291" i="16" s="1"/>
  <c r="AX293" i="16"/>
  <c r="AX295" i="16"/>
  <c r="H295" i="16" s="1"/>
  <c r="AX297" i="16"/>
  <c r="F297" i="16" s="1"/>
  <c r="AX299" i="16"/>
  <c r="F299" i="16" s="1"/>
  <c r="AX301" i="16"/>
  <c r="F301" i="16" s="1"/>
  <c r="AX303" i="16"/>
  <c r="AX305" i="16"/>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1" i="16"/>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5" i="16"/>
  <c r="H188" i="16"/>
  <c r="H192" i="16"/>
  <c r="H197" i="16"/>
  <c r="H204" i="16"/>
  <c r="H208" i="16"/>
  <c r="H210" i="16"/>
  <c r="H213" i="16"/>
  <c r="H221" i="16"/>
  <c r="H224" i="16"/>
  <c r="H226" i="16"/>
  <c r="H232" i="16"/>
  <c r="H236" i="16"/>
  <c r="H238" i="16"/>
  <c r="H240" i="16"/>
  <c r="H242" i="16"/>
  <c r="H244" i="16"/>
  <c r="H246" i="16"/>
  <c r="H249" i="16"/>
  <c r="H254" i="16"/>
  <c r="H258" i="16"/>
  <c r="H260" i="16"/>
  <c r="H266" i="16"/>
  <c r="H270" i="16"/>
  <c r="H272" i="16"/>
  <c r="H274" i="16"/>
  <c r="H276" i="16"/>
  <c r="H278" i="16"/>
  <c r="H285" i="16"/>
  <c r="H289" i="16"/>
  <c r="H297" i="16"/>
  <c r="H305" i="16"/>
  <c r="H313" i="16"/>
  <c r="H317" i="16"/>
  <c r="H330" i="16"/>
  <c r="H332" i="16"/>
  <c r="H334" i="16"/>
  <c r="H336" i="16"/>
  <c r="H340"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5" i="16"/>
  <c r="H269" i="16"/>
  <c r="H273" i="16"/>
  <c r="H277" i="16"/>
  <c r="H284" i="16"/>
  <c r="H290" i="16"/>
  <c r="H294" i="16"/>
  <c r="H300" i="16"/>
  <c r="H306" i="16"/>
  <c r="H308" i="16"/>
  <c r="H310" i="16"/>
  <c r="H312" i="16"/>
  <c r="H322" i="16"/>
  <c r="H324" i="16"/>
  <c r="H335" i="16"/>
  <c r="H353"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62" i="16"/>
  <c r="F110" i="16"/>
  <c r="F156" i="16"/>
  <c r="F238" i="16"/>
  <c r="F278" i="16"/>
  <c r="F47" i="16"/>
  <c r="F151" i="16"/>
  <c r="F179" i="16"/>
  <c r="F193" i="16"/>
  <c r="F203" i="16"/>
  <c r="F64" i="16"/>
  <c r="F258" i="16"/>
  <c r="F294" i="16"/>
  <c r="F302" i="16"/>
  <c r="F308" i="16"/>
  <c r="F45" i="16"/>
  <c r="F69" i="16"/>
  <c r="F75" i="16"/>
  <c r="F79" i="16"/>
  <c r="F187" i="16"/>
  <c r="F271" i="16"/>
  <c r="F350" i="16"/>
  <c r="F283" i="16"/>
  <c r="D50" i="8"/>
  <c r="G3" i="16"/>
  <c r="J9" i="8" s="1"/>
  <c r="I3" i="16"/>
  <c r="P8" i="16"/>
  <c r="AF11" i="16"/>
  <c r="F3" i="16"/>
  <c r="H3" i="16"/>
  <c r="J11" i="8" s="1"/>
  <c r="F326" i="16"/>
  <c r="F305" i="16"/>
  <c r="F260" i="16"/>
  <c r="F246" i="16"/>
  <c r="F222" i="16"/>
  <c r="F220" i="16"/>
  <c r="F277" i="16"/>
  <c r="F273" i="16"/>
  <c r="F198" i="16"/>
  <c r="F196" i="16"/>
  <c r="F168" i="16"/>
  <c r="F158" i="16"/>
  <c r="F152" i="16"/>
  <c r="F150" i="16"/>
  <c r="F142" i="16"/>
  <c r="F136" i="16"/>
  <c r="F130" i="16"/>
  <c r="F201" i="16"/>
  <c r="F175" i="16"/>
  <c r="F167" i="16"/>
  <c r="F165" i="16"/>
  <c r="F135" i="16"/>
  <c r="F133" i="16"/>
  <c r="F127" i="16"/>
  <c r="F14" i="16"/>
  <c r="F21" i="16"/>
  <c r="F22" i="16"/>
  <c r="F23" i="16"/>
  <c r="F24" i="16"/>
  <c r="F29" i="16"/>
  <c r="F38" i="16"/>
  <c r="F39" i="16"/>
  <c r="F40" i="16"/>
  <c r="F46" i="16"/>
  <c r="F48" i="16"/>
  <c r="F50" i="16"/>
  <c r="F51" i="16"/>
  <c r="F53" i="16"/>
  <c r="F55" i="16"/>
  <c r="F70" i="16"/>
  <c r="F85" i="16"/>
  <c r="F86" i="16"/>
  <c r="F91" i="16"/>
  <c r="F95" i="16"/>
  <c r="F102" i="16"/>
  <c r="F107" i="16"/>
  <c r="F295" i="16" l="1"/>
  <c r="F98" i="16"/>
  <c r="F341" i="16"/>
  <c r="F108" i="16"/>
  <c r="F81" i="16"/>
  <c r="F28" i="16"/>
  <c r="F124" i="16"/>
  <c r="F117" i="16"/>
  <c r="F109" i="16"/>
  <c r="F93" i="16"/>
  <c r="F20" i="16"/>
  <c r="F207" i="16"/>
  <c r="F84" i="16"/>
  <c r="F52" i="16"/>
  <c r="F19" i="16"/>
  <c r="F125" i="16"/>
  <c r="F56" i="16"/>
  <c r="F41" i="16"/>
  <c r="F333" i="16"/>
  <c r="F65" i="16"/>
  <c r="F73" i="16"/>
  <c r="F113" i="16"/>
  <c r="F34" i="16"/>
  <c r="F339" i="16"/>
  <c r="F17"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AG21" i="16" s="1"/>
  <c r="H233" i="16"/>
  <c r="F233" i="16"/>
  <c r="H261" i="16"/>
  <c r="F261" i="16"/>
  <c r="H281" i="16"/>
  <c r="F281" i="16"/>
  <c r="F293" i="16"/>
  <c r="H293" i="16"/>
  <c r="F309" i="16"/>
  <c r="H309" i="16"/>
  <c r="H292" i="16"/>
  <c r="F292" i="16"/>
  <c r="AG19" i="16" s="1"/>
  <c r="H316" i="16"/>
  <c r="F316" i="16"/>
  <c r="H351" i="16"/>
  <c r="F351" i="16"/>
  <c r="H363" i="16"/>
  <c r="F363" i="16"/>
  <c r="AG23" i="16" l="1"/>
  <c r="AG14" i="16"/>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AR13" i="16" s="1"/>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R41" i="16" s="1"/>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AR45" i="16" s="1"/>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R59" i="16" s="1"/>
  <c r="AJ59" i="16"/>
  <c r="S60" i="16"/>
  <c r="AP60" i="16"/>
  <c r="AA60" i="16"/>
  <c r="X60" i="16"/>
  <c r="M60" i="16"/>
  <c r="N60" i="16" s="1"/>
  <c r="AI60" i="16"/>
  <c r="T60" i="16"/>
  <c r="L61" i="16"/>
  <c r="Y60" i="16" l="1"/>
  <c r="U60" i="16"/>
  <c r="AQ60" i="16"/>
  <c r="AJ60" i="16"/>
  <c r="AB60" i="16"/>
  <c r="AA61" i="16"/>
  <c r="AI61" i="16"/>
  <c r="T61" i="16"/>
  <c r="S61" i="16"/>
  <c r="AP61" i="16"/>
  <c r="X61" i="16"/>
  <c r="Y61" i="16" s="1"/>
  <c r="Z61" i="16" s="1"/>
  <c r="M61" i="16"/>
  <c r="N61" i="16" s="1"/>
  <c r="L62" i="16"/>
  <c r="AQ61" i="16" l="1"/>
  <c r="AB61" i="16"/>
  <c r="U61" i="16"/>
  <c r="AJ61" i="16"/>
  <c r="L63" i="16"/>
  <c r="X62" i="16"/>
  <c r="M62" i="16"/>
  <c r="N62" i="16" s="1"/>
  <c r="AI62" i="16"/>
  <c r="T62" i="16"/>
  <c r="U62" i="16" s="1"/>
  <c r="S62" i="16"/>
  <c r="AP62" i="16"/>
  <c r="AA62" i="16"/>
  <c r="Y62" i="16" l="1"/>
  <c r="AB62" i="16"/>
  <c r="AQ62" i="16"/>
  <c r="AJ62" i="16"/>
  <c r="L64" i="16"/>
  <c r="AP63" i="16"/>
  <c r="AA63" i="16"/>
  <c r="X63" i="16"/>
  <c r="M63" i="16"/>
  <c r="N63" i="16" s="1"/>
  <c r="AI63" i="16"/>
  <c r="T63" i="16"/>
  <c r="S63" i="16"/>
  <c r="AR62" i="16" l="1"/>
  <c r="Y63" i="16"/>
  <c r="AB63" i="16"/>
  <c r="AQ63" i="16"/>
  <c r="U63" i="16"/>
  <c r="AJ63" i="16"/>
  <c r="S64" i="16"/>
  <c r="AP64" i="16"/>
  <c r="AA64" i="16"/>
  <c r="X64" i="16"/>
  <c r="M64" i="16"/>
  <c r="N64" i="16" s="1"/>
  <c r="AI64" i="16"/>
  <c r="T64" i="16"/>
  <c r="L65" i="16"/>
  <c r="AR63" i="16" l="1"/>
  <c r="Y64" i="16"/>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Y76" i="16" s="1"/>
  <c r="Z76" i="16" s="1"/>
  <c r="M76" i="16"/>
  <c r="N76" i="16" s="1"/>
  <c r="AI76" i="16"/>
  <c r="T76" i="16"/>
  <c r="S76" i="16"/>
  <c r="AP76" i="16"/>
  <c r="AA76" i="16"/>
  <c r="L77" i="16"/>
  <c r="AQ76" i="16" l="1"/>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R79" i="16" s="1"/>
  <c r="AJ79" i="16"/>
  <c r="AB79" i="16"/>
  <c r="U79" i="16"/>
  <c r="X80" i="16"/>
  <c r="Y80" i="16" s="1"/>
  <c r="Z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AC80" i="16" l="1"/>
  <c r="Y81" i="16"/>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R85" i="16"/>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Y89" i="16" s="1"/>
  <c r="Z89" i="16" s="1"/>
  <c r="L90" i="16"/>
  <c r="AJ89" i="16" l="1"/>
  <c r="AB89" i="16"/>
  <c r="AQ89" i="16"/>
  <c r="U89" i="16"/>
  <c r="X90" i="16"/>
  <c r="M90" i="16"/>
  <c r="N90" i="16" s="1"/>
  <c r="AI90" i="16"/>
  <c r="T90" i="16"/>
  <c r="S90" i="16"/>
  <c r="AP90" i="16"/>
  <c r="AA90" i="16"/>
  <c r="L91" i="16"/>
  <c r="U90" i="16" l="1"/>
  <c r="Y90" i="16"/>
  <c r="AQ90" i="16"/>
  <c r="AR90" i="16" s="1"/>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U94" i="16" s="1"/>
  <c r="V94" i="16" s="1"/>
  <c r="S94" i="16"/>
  <c r="AP94" i="16"/>
  <c r="AA94" i="16"/>
  <c r="L95" i="16"/>
  <c r="AB94" i="16" l="1"/>
  <c r="AC94" i="16" s="1"/>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R97" i="16" s="1"/>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AR101" i="16" s="1"/>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R103" i="16" s="1"/>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AR105" i="16" l="1"/>
  <c r="Y106" i="16"/>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AC108" i="16" s="1"/>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AR115" i="16" l="1"/>
  <c r="Y116" i="16"/>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V117" i="16" l="1"/>
  <c r="Y118" i="16"/>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R123" i="16" s="1"/>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AR138" i="16" s="1"/>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Y142" i="16" s="1"/>
  <c r="Z142" i="16" s="1"/>
  <c r="M142" i="16"/>
  <c r="N142" i="16" s="1"/>
  <c r="L143" i="16"/>
  <c r="AR141"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V144" i="16"/>
  <c r="AJ145" i="16"/>
  <c r="Y145" i="16"/>
  <c r="AQ145" i="16"/>
  <c r="AB145" i="16"/>
  <c r="AP146" i="16"/>
  <c r="AA146" i="16"/>
  <c r="S146" i="16"/>
  <c r="AI146" i="16"/>
  <c r="T146" i="16"/>
  <c r="X146" i="16"/>
  <c r="Y146" i="16" s="1"/>
  <c r="Z146" i="16" s="1"/>
  <c r="M146" i="16"/>
  <c r="N146" i="16" s="1"/>
  <c r="L147" i="16"/>
  <c r="AJ146" i="16" l="1"/>
  <c r="AB146" i="16"/>
  <c r="AQ146" i="16"/>
  <c r="U146" i="16"/>
  <c r="X147" i="16"/>
  <c r="M147" i="16"/>
  <c r="N147" i="16" s="1"/>
  <c r="AI147" i="16"/>
  <c r="T147" i="16"/>
  <c r="S147" i="16"/>
  <c r="AP147" i="16"/>
  <c r="AA147" i="16"/>
  <c r="L148" i="16"/>
  <c r="Y147" i="16" l="1"/>
  <c r="V146" i="16"/>
  <c r="AJ147" i="16"/>
  <c r="AQ147" i="16"/>
  <c r="U147" i="16"/>
  <c r="AB147" i="16"/>
  <c r="AP148" i="16"/>
  <c r="AA148" i="16"/>
  <c r="S148" i="16"/>
  <c r="AI148" i="16"/>
  <c r="T148" i="16"/>
  <c r="X148" i="16"/>
  <c r="M148" i="16"/>
  <c r="N148" i="16" s="1"/>
  <c r="L149" i="16"/>
  <c r="Y148" i="16" l="1"/>
  <c r="AJ148" i="16"/>
  <c r="AB148" i="16"/>
  <c r="U148" i="16"/>
  <c r="AQ148" i="16"/>
  <c r="X149" i="16"/>
  <c r="Y149" i="16" s="1"/>
  <c r="Z149" i="16" s="1"/>
  <c r="M149" i="16"/>
  <c r="N149" i="16" s="1"/>
  <c r="AI149" i="16"/>
  <c r="T149" i="16"/>
  <c r="U149" i="16" s="1"/>
  <c r="S149" i="16"/>
  <c r="AP149" i="16"/>
  <c r="AA149" i="16"/>
  <c r="L150" i="16"/>
  <c r="AJ149" i="16" l="1"/>
  <c r="AQ149" i="16"/>
  <c r="AB149" i="16"/>
  <c r="AP150" i="16"/>
  <c r="AA150" i="16"/>
  <c r="S150" i="16"/>
  <c r="AI150" i="16"/>
  <c r="T150" i="16"/>
  <c r="X150" i="16"/>
  <c r="Y150" i="16" s="1"/>
  <c r="M150" i="16"/>
  <c r="N150" i="16" s="1"/>
  <c r="L151" i="16"/>
  <c r="Z150" i="16" l="1"/>
  <c r="AJ150" i="16"/>
  <c r="AQ150" i="16"/>
  <c r="AB150" i="16"/>
  <c r="U150" i="16"/>
  <c r="X151" i="16"/>
  <c r="M151" i="16"/>
  <c r="N151" i="16" s="1"/>
  <c r="AI151" i="16"/>
  <c r="T151" i="16"/>
  <c r="S151" i="16"/>
  <c r="AP151" i="16"/>
  <c r="AA151" i="16"/>
  <c r="L152" i="16"/>
  <c r="AR150" i="16" l="1"/>
  <c r="Y151" i="16"/>
  <c r="V150" i="16"/>
  <c r="AJ151" i="16"/>
  <c r="AQ151" i="16"/>
  <c r="U151" i="16"/>
  <c r="AB151" i="16"/>
  <c r="AP152" i="16"/>
  <c r="AA152" i="16"/>
  <c r="S152" i="16"/>
  <c r="AI152" i="16"/>
  <c r="AJ152" i="16" s="1"/>
  <c r="AK152" i="16" s="1"/>
  <c r="T152" i="16"/>
  <c r="X152" i="16"/>
  <c r="Y152" i="16" s="1"/>
  <c r="Z152" i="16" s="1"/>
  <c r="M152" i="16"/>
  <c r="N152" i="16" s="1"/>
  <c r="L153" i="16"/>
  <c r="U152" i="16" l="1"/>
  <c r="AB152" i="16"/>
  <c r="AC152" i="16" s="1"/>
  <c r="AQ152" i="16"/>
  <c r="X153" i="16"/>
  <c r="M153" i="16"/>
  <c r="N153" i="16" s="1"/>
  <c r="AI153" i="16"/>
  <c r="T153" i="16"/>
  <c r="S153" i="16"/>
  <c r="AP153" i="16"/>
  <c r="AA153" i="16"/>
  <c r="L154" i="16"/>
  <c r="U153" i="16" l="1"/>
  <c r="Y153" i="16"/>
  <c r="V152" i="16"/>
  <c r="AJ153" i="16"/>
  <c r="AQ153" i="16"/>
  <c r="AB153" i="16"/>
  <c r="AP154" i="16"/>
  <c r="AA154" i="16"/>
  <c r="S154" i="16"/>
  <c r="AI154" i="16"/>
  <c r="T154" i="16"/>
  <c r="X154" i="16"/>
  <c r="Y154" i="16" s="1"/>
  <c r="Z154" i="16" s="1"/>
  <c r="M154" i="16"/>
  <c r="N154" i="16" s="1"/>
  <c r="L155" i="16"/>
  <c r="AJ154" i="16" l="1"/>
  <c r="AB154" i="16"/>
  <c r="AQ154" i="16"/>
  <c r="U154" i="16"/>
  <c r="X155" i="16"/>
  <c r="M155" i="16"/>
  <c r="N155" i="16" s="1"/>
  <c r="AI155" i="16"/>
  <c r="T155" i="16"/>
  <c r="S155" i="16"/>
  <c r="AP155" i="16"/>
  <c r="AA155" i="16"/>
  <c r="L156" i="16"/>
  <c r="Y155" i="16" l="1"/>
  <c r="V154" i="16"/>
  <c r="AQ155" i="16"/>
  <c r="AR155" i="16" s="1"/>
  <c r="AB155" i="16"/>
  <c r="AJ155" i="16"/>
  <c r="U155" i="16"/>
  <c r="AP156" i="16"/>
  <c r="AA156" i="16"/>
  <c r="S156" i="16"/>
  <c r="AI156" i="16"/>
  <c r="T156" i="16"/>
  <c r="X156" i="16"/>
  <c r="M156" i="16"/>
  <c r="N156" i="16" s="1"/>
  <c r="L157" i="16"/>
  <c r="Y156" i="16" l="1"/>
  <c r="AC155" i="16"/>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AR164" i="16" l="1"/>
  <c r="Y165" i="16"/>
  <c r="AQ165" i="16"/>
  <c r="AB165" i="16"/>
  <c r="L167" i="16"/>
  <c r="AP166" i="16"/>
  <c r="AA166" i="16"/>
  <c r="S166" i="16"/>
  <c r="AI166" i="16"/>
  <c r="T166" i="16"/>
  <c r="X166" i="16"/>
  <c r="M166" i="16"/>
  <c r="N166" i="16" s="1"/>
  <c r="Y166" i="16" l="1"/>
  <c r="AJ166" i="16"/>
  <c r="U166" i="16"/>
  <c r="AB166" i="16"/>
  <c r="AQ166" i="16"/>
  <c r="AR166" i="16" s="1"/>
  <c r="L168" i="16"/>
  <c r="X167" i="16"/>
  <c r="Y167" i="16" s="1"/>
  <c r="Z167" i="16" s="1"/>
  <c r="M167" i="16"/>
  <c r="N167" i="16" s="1"/>
  <c r="AI167" i="16"/>
  <c r="T167" i="16"/>
  <c r="U167" i="16" s="1"/>
  <c r="S167" i="16"/>
  <c r="AP167" i="16"/>
  <c r="AA167" i="16"/>
  <c r="AJ167" i="16" l="1"/>
  <c r="AB167" i="16"/>
  <c r="AQ167" i="16"/>
  <c r="AI168" i="16"/>
  <c r="T168" i="16"/>
  <c r="X168" i="16"/>
  <c r="M168" i="16"/>
  <c r="N168" i="16" s="1"/>
  <c r="AP168" i="16"/>
  <c r="AA168" i="16"/>
  <c r="S168" i="16"/>
  <c r="L169" i="16"/>
  <c r="Y168" i="16" l="1"/>
  <c r="AJ168" i="16"/>
  <c r="U168" i="16"/>
  <c r="AB168" i="16"/>
  <c r="AQ168" i="16"/>
  <c r="AR168" i="16" s="1"/>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Z170" i="16" s="1"/>
  <c r="M170" i="16"/>
  <c r="N170" i="16" s="1"/>
  <c r="AJ170" i="16" l="1"/>
  <c r="AQ170" i="16"/>
  <c r="AR170" i="16" s="1"/>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R175" i="16" s="1"/>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Y182" i="16" s="1"/>
  <c r="Z182" i="16" s="1"/>
  <c r="M182" i="16"/>
  <c r="N182" i="16" s="1"/>
  <c r="L183" i="16"/>
  <c r="AJ182" i="16" l="1"/>
  <c r="U182" i="16"/>
  <c r="AQ182" i="16"/>
  <c r="AB182" i="16"/>
  <c r="X183" i="16"/>
  <c r="M183" i="16"/>
  <c r="N183" i="16" s="1"/>
  <c r="AI183" i="16"/>
  <c r="AJ183" i="16" s="1"/>
  <c r="T183" i="16"/>
  <c r="S183" i="16"/>
  <c r="AP183" i="16"/>
  <c r="AA183" i="16"/>
  <c r="L184" i="16"/>
  <c r="Y183" i="16" l="1"/>
  <c r="V182" i="16"/>
  <c r="AK183" i="16"/>
  <c r="AQ183" i="16"/>
  <c r="U183" i="16"/>
  <c r="AB183" i="16"/>
  <c r="AP184" i="16"/>
  <c r="AA184" i="16"/>
  <c r="S184" i="16"/>
  <c r="AI184" i="16"/>
  <c r="T184" i="16"/>
  <c r="X184" i="16"/>
  <c r="M184" i="16"/>
  <c r="N184" i="16" s="1"/>
  <c r="L185" i="16"/>
  <c r="Y184" i="16" l="1"/>
  <c r="AR183" i="16"/>
  <c r="AJ184" i="16"/>
  <c r="AB184" i="16"/>
  <c r="AQ184" i="16"/>
  <c r="AR184" i="16" s="1"/>
  <c r="U184" i="16"/>
  <c r="X185" i="16"/>
  <c r="Y185" i="16" s="1"/>
  <c r="Z185" i="16" s="1"/>
  <c r="M185" i="16"/>
  <c r="N185" i="16" s="1"/>
  <c r="AI185" i="16"/>
  <c r="T185" i="16"/>
  <c r="S185" i="16"/>
  <c r="AP185" i="16"/>
  <c r="AA185" i="16"/>
  <c r="L186" i="16"/>
  <c r="AJ185" i="16" l="1"/>
  <c r="U185" i="16"/>
  <c r="AQ185" i="16"/>
  <c r="AR185" i="16" s="1"/>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Y193" i="16" s="1"/>
  <c r="Z193" i="16" s="1"/>
  <c r="M193" i="16"/>
  <c r="N193" i="16" s="1"/>
  <c r="AI193" i="16"/>
  <c r="T193" i="16"/>
  <c r="S193" i="16"/>
  <c r="AP193" i="16"/>
  <c r="AA193" i="16"/>
  <c r="L194" i="16"/>
  <c r="AJ193" i="16" l="1"/>
  <c r="AQ193" i="16"/>
  <c r="U193" i="16"/>
  <c r="V193" i="16" s="1"/>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Z196" i="16" s="1"/>
  <c r="M196" i="16"/>
  <c r="N196" i="16" s="1"/>
  <c r="L197" i="16"/>
  <c r="AJ196" i="16" l="1"/>
  <c r="AQ196" i="16"/>
  <c r="AB196" i="16"/>
  <c r="U196" i="16"/>
  <c r="X197" i="16"/>
  <c r="M197" i="16"/>
  <c r="N197" i="16" s="1"/>
  <c r="AI197" i="16"/>
  <c r="AJ197" i="16" s="1"/>
  <c r="AK197" i="16" s="1"/>
  <c r="T197" i="16"/>
  <c r="S197" i="16"/>
  <c r="AP197" i="16"/>
  <c r="AA197" i="16"/>
  <c r="L198" i="16"/>
  <c r="AR196" i="16" l="1"/>
  <c r="Y197" i="16"/>
  <c r="AC196" i="16"/>
  <c r="V196" i="16"/>
  <c r="AQ197" i="16"/>
  <c r="U197" i="16"/>
  <c r="AB197" i="16"/>
  <c r="AP198" i="16"/>
  <c r="AA198" i="16"/>
  <c r="S198" i="16"/>
  <c r="AI198" i="16"/>
  <c r="T198" i="16"/>
  <c r="X198" i="16"/>
  <c r="Y198" i="16" s="1"/>
  <c r="Z198" i="16" s="1"/>
  <c r="M198" i="16"/>
  <c r="N198" i="16" s="1"/>
  <c r="L199" i="16"/>
  <c r="AC197" i="16" l="1"/>
  <c r="AJ198" i="16"/>
  <c r="U198" i="16"/>
  <c r="V198" i="16" s="1"/>
  <c r="AB198" i="16"/>
  <c r="AQ198" i="16"/>
  <c r="X199" i="16"/>
  <c r="M199" i="16"/>
  <c r="N199" i="16" s="1"/>
  <c r="AI199" i="16"/>
  <c r="T199" i="16"/>
  <c r="U199" i="16" s="1"/>
  <c r="S199" i="16"/>
  <c r="AP199" i="16"/>
  <c r="AA199" i="16"/>
  <c r="L200" i="16"/>
  <c r="Y199" i="16" l="1"/>
  <c r="AB199" i="16"/>
  <c r="AJ199" i="16"/>
  <c r="AQ199" i="16"/>
  <c r="AP200" i="16"/>
  <c r="AA200" i="16"/>
  <c r="S200" i="16"/>
  <c r="AI200" i="16"/>
  <c r="T200" i="16"/>
  <c r="X200" i="16"/>
  <c r="Y200" i="16" s="1"/>
  <c r="Z200" i="16" s="1"/>
  <c r="M200" i="16"/>
  <c r="N200" i="16" s="1"/>
  <c r="L201" i="16"/>
  <c r="AJ200" i="16" l="1"/>
  <c r="AB200" i="16"/>
  <c r="U200" i="16"/>
  <c r="AQ200" i="16"/>
  <c r="AR200" i="16" s="1"/>
  <c r="X201" i="16"/>
  <c r="Y201" i="16" s="1"/>
  <c r="M201" i="16"/>
  <c r="N201" i="16" s="1"/>
  <c r="AI201" i="16"/>
  <c r="T201" i="16"/>
  <c r="U201" i="16" s="1"/>
  <c r="V201" i="16" s="1"/>
  <c r="S201" i="16"/>
  <c r="AP201" i="16"/>
  <c r="AA201" i="16"/>
  <c r="L202" i="16"/>
  <c r="Z201" i="16" l="1"/>
  <c r="AQ201" i="16"/>
  <c r="AR201" i="16" s="1"/>
  <c r="AJ201" i="16"/>
  <c r="AB201" i="16"/>
  <c r="AP202" i="16"/>
  <c r="AQ202" i="16" s="1"/>
  <c r="AR202" i="16" s="1"/>
  <c r="AA202" i="16"/>
  <c r="AB202" i="16" s="1"/>
  <c r="AC202" i="16" s="1"/>
  <c r="S202" i="16"/>
  <c r="AI202" i="16"/>
  <c r="AJ202" i="16" s="1"/>
  <c r="T202" i="16"/>
  <c r="X202" i="16"/>
  <c r="Y202" i="16" s="1"/>
  <c r="Z202" i="16" s="1"/>
  <c r="M202" i="16"/>
  <c r="N202" i="16" s="1"/>
  <c r="L203" i="16"/>
  <c r="AK202" i="16" l="1"/>
  <c r="U202" i="16"/>
  <c r="X203" i="16"/>
  <c r="Y203" i="16" s="1"/>
  <c r="AP203" i="16"/>
  <c r="M203" i="16"/>
  <c r="N203" i="16" s="1"/>
  <c r="AA203" i="16"/>
  <c r="AB203" i="16" s="1"/>
  <c r="S203" i="16"/>
  <c r="T203" i="16"/>
  <c r="AI203" i="16"/>
  <c r="AJ203" i="16" s="1"/>
  <c r="AK203" i="16" s="1"/>
  <c r="L204" i="16"/>
  <c r="U203" i="16" l="1"/>
  <c r="AQ203" i="16"/>
  <c r="AR203" i="16" s="1"/>
  <c r="Z203" i="16"/>
  <c r="AC203" i="16"/>
  <c r="AP204" i="16"/>
  <c r="AA204" i="16"/>
  <c r="S204" i="16"/>
  <c r="AI204" i="16"/>
  <c r="AJ204" i="16" s="1"/>
  <c r="T204" i="16"/>
  <c r="X204" i="16"/>
  <c r="Y204" i="16" s="1"/>
  <c r="M204" i="16"/>
  <c r="N204" i="16" s="1"/>
  <c r="L205" i="16"/>
  <c r="U204" i="16" l="1"/>
  <c r="Z204" i="16"/>
  <c r="AK204" i="16"/>
  <c r="AB204" i="16"/>
  <c r="AQ204" i="16"/>
  <c r="X205" i="16"/>
  <c r="Y205" i="16" s="1"/>
  <c r="Z205" i="16" s="1"/>
  <c r="M205" i="16"/>
  <c r="N205" i="16" s="1"/>
  <c r="AI205" i="16"/>
  <c r="AJ205" i="16" s="1"/>
  <c r="AK205" i="16" s="1"/>
  <c r="T205" i="16"/>
  <c r="U205" i="16" s="1"/>
  <c r="S205" i="16"/>
  <c r="AP205" i="16"/>
  <c r="AQ205" i="16" s="1"/>
  <c r="AR205" i="16" s="1"/>
  <c r="AA205" i="16"/>
  <c r="AB205" i="16" s="1"/>
  <c r="AC205" i="16" s="1"/>
  <c r="L206" i="16"/>
  <c r="AR204" i="16" l="1"/>
  <c r="AC204" i="16"/>
  <c r="V205" i="16"/>
  <c r="AP206" i="16"/>
  <c r="AQ206" i="16" s="1"/>
  <c r="AR206" i="16" s="1"/>
  <c r="AA206" i="16"/>
  <c r="S206" i="16"/>
  <c r="AI206" i="16"/>
  <c r="AJ206" i="16" s="1"/>
  <c r="AK206" i="16" s="1"/>
  <c r="T206" i="16"/>
  <c r="U206" i="16" s="1"/>
  <c r="V206" i="16" s="1"/>
  <c r="X206" i="16"/>
  <c r="Y206" i="16" s="1"/>
  <c r="Z206" i="16" s="1"/>
  <c r="M206" i="16"/>
  <c r="N206" i="16" s="1"/>
  <c r="L207" i="16"/>
  <c r="AB206" i="16" l="1"/>
  <c r="X207" i="16"/>
  <c r="Y207" i="16" s="1"/>
  <c r="Z207" i="16" s="1"/>
  <c r="M207" i="16"/>
  <c r="AI207" i="16"/>
  <c r="AJ207" i="16" s="1"/>
  <c r="AK207" i="16" s="1"/>
  <c r="T207" i="16"/>
  <c r="U207" i="16" s="1"/>
  <c r="V207" i="16" s="1"/>
  <c r="S207" i="16"/>
  <c r="AP207" i="16"/>
  <c r="AQ207" i="16" s="1"/>
  <c r="AR207" i="16" s="1"/>
  <c r="AA207" i="16"/>
  <c r="AB207" i="16" s="1"/>
  <c r="AC207" i="16" s="1"/>
  <c r="N207" i="16"/>
  <c r="L208" i="16"/>
  <c r="AC206" i="16" l="1"/>
  <c r="AP208" i="16"/>
  <c r="AQ208" i="16" s="1"/>
  <c r="AR208" i="16" s="1"/>
  <c r="AA208" i="16"/>
  <c r="S208" i="16"/>
  <c r="AI208" i="16"/>
  <c r="AJ208" i="16" s="1"/>
  <c r="T208" i="16"/>
  <c r="U208" i="16" s="1"/>
  <c r="X208" i="16"/>
  <c r="Y208" i="16" s="1"/>
  <c r="Z208" i="16" s="1"/>
  <c r="M208" i="16"/>
  <c r="N208" i="16" s="1"/>
  <c r="L209" i="16"/>
  <c r="V208" i="16" l="1"/>
  <c r="AK208" i="16"/>
  <c r="AB208" i="16"/>
  <c r="X209" i="16"/>
  <c r="Y209" i="16" s="1"/>
  <c r="Z209" i="16" s="1"/>
  <c r="M209" i="16"/>
  <c r="AI209" i="16"/>
  <c r="AJ209" i="16" s="1"/>
  <c r="AK209" i="16" s="1"/>
  <c r="T209" i="16"/>
  <c r="U209" i="16" s="1"/>
  <c r="V209" i="16" s="1"/>
  <c r="S209" i="16"/>
  <c r="AP209" i="16"/>
  <c r="AQ209" i="16" s="1"/>
  <c r="AR209" i="16" s="1"/>
  <c r="AA209" i="16"/>
  <c r="AB209" i="16" s="1"/>
  <c r="AC209" i="16" s="1"/>
  <c r="N209" i="16"/>
  <c r="L210" i="16"/>
  <c r="AC208" i="16" l="1"/>
  <c r="AP210" i="16"/>
  <c r="AQ210" i="16" s="1"/>
  <c r="AR210" i="16" s="1"/>
  <c r="AA210" i="16"/>
  <c r="S210" i="16"/>
  <c r="AI210" i="16"/>
  <c r="AJ210" i="16" s="1"/>
  <c r="AK210" i="16" s="1"/>
  <c r="T210" i="16"/>
  <c r="U210" i="16" s="1"/>
  <c r="V210" i="16" s="1"/>
  <c r="X210" i="16"/>
  <c r="Y210" i="16" s="1"/>
  <c r="Z210" i="16" s="1"/>
  <c r="M210" i="16"/>
  <c r="N210" i="16" s="1"/>
  <c r="L211" i="16"/>
  <c r="AB210" i="16" l="1"/>
  <c r="X211" i="16"/>
  <c r="Y211" i="16" s="1"/>
  <c r="Z211" i="16" s="1"/>
  <c r="M211" i="16"/>
  <c r="N211" i="16" s="1"/>
  <c r="AI211" i="16"/>
  <c r="AJ211" i="16" s="1"/>
  <c r="AK211" i="16" s="1"/>
  <c r="T211" i="16"/>
  <c r="U211" i="16" s="1"/>
  <c r="V211" i="16" s="1"/>
  <c r="S211" i="16"/>
  <c r="AP211" i="16"/>
  <c r="AQ211" i="16" s="1"/>
  <c r="AR211" i="16" s="1"/>
  <c r="AA211" i="16"/>
  <c r="AB211" i="16" s="1"/>
  <c r="AC211" i="16" s="1"/>
  <c r="L212" i="16"/>
  <c r="AC210" i="16" l="1"/>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V214" i="16" s="1"/>
  <c r="X214" i="16"/>
  <c r="Y214" i="16" s="1"/>
  <c r="Z214" i="16" s="1"/>
  <c r="M214" i="16"/>
  <c r="N214" i="16" s="1"/>
  <c r="L215" i="16"/>
  <c r="AJ214" i="16" l="1"/>
  <c r="AQ214" i="16"/>
  <c r="AR214" i="16" s="1"/>
  <c r="AB214" i="16"/>
  <c r="AC214" i="16" s="1"/>
  <c r="X215" i="16"/>
  <c r="Y215" i="16" s="1"/>
  <c r="Z215" i="16" s="1"/>
  <c r="M215" i="16"/>
  <c r="AI215" i="16"/>
  <c r="AJ215" i="16" s="1"/>
  <c r="AK215" i="16" s="1"/>
  <c r="T215" i="16"/>
  <c r="U215" i="16" s="1"/>
  <c r="V215" i="16" s="1"/>
  <c r="S215" i="16"/>
  <c r="AP215" i="16"/>
  <c r="AQ215" i="16" s="1"/>
  <c r="AR215" i="16" s="1"/>
  <c r="AA215" i="16"/>
  <c r="AB215" i="16" s="1"/>
  <c r="AC215" i="16" s="1"/>
  <c r="N215" i="16"/>
  <c r="L216" i="16"/>
  <c r="AP216" i="16" l="1"/>
  <c r="AQ216" i="16" s="1"/>
  <c r="AR216" i="16" s="1"/>
  <c r="AA216" i="16"/>
  <c r="S216" i="16"/>
  <c r="AI216" i="16"/>
  <c r="AJ216" i="16" s="1"/>
  <c r="AK216" i="16" s="1"/>
  <c r="T216" i="16"/>
  <c r="U216" i="16" s="1"/>
  <c r="V216" i="16" s="1"/>
  <c r="X216" i="16"/>
  <c r="Y216" i="16" s="1"/>
  <c r="Z216" i="16" s="1"/>
  <c r="M216" i="16"/>
  <c r="N216" i="16" s="1"/>
  <c r="L217" i="16"/>
  <c r="AB216" i="16" l="1"/>
  <c r="AC216" i="16" s="1"/>
  <c r="X217" i="16"/>
  <c r="Y217" i="16" s="1"/>
  <c r="Z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Z218" i="16" s="1"/>
  <c r="M218" i="16"/>
  <c r="N218" i="16" s="1"/>
  <c r="L219" i="16"/>
  <c r="AB218" i="16" l="1"/>
  <c r="AC218" i="16" s="1"/>
  <c r="X219" i="16"/>
  <c r="Y219" i="16" s="1"/>
  <c r="Z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5" i="16" l="1"/>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V25" i="16" s="1"/>
  <c r="AA363" i="16"/>
  <c r="S363" i="16"/>
  <c r="M363" i="16"/>
  <c r="M9" i="16" s="1"/>
  <c r="L37" i="8" s="1"/>
  <c r="K37" i="8" s="1"/>
  <c r="AI363" i="16"/>
  <c r="AJ363" i="16" s="1"/>
  <c r="AK132" i="16" s="1"/>
  <c r="Y9" i="16"/>
  <c r="L38" i="8" s="1"/>
  <c r="AK49" i="16"/>
  <c r="AK36" i="16"/>
  <c r="AK21" i="16"/>
  <c r="AK41" i="16"/>
  <c r="AK28" i="16"/>
  <c r="AK17" i="16"/>
  <c r="U69" i="8"/>
  <c r="U67" i="8"/>
  <c r="U70" i="8"/>
  <c r="U68" i="8"/>
  <c r="U71" i="8"/>
  <c r="U73" i="8"/>
  <c r="U72" i="8"/>
  <c r="G119" i="8"/>
  <c r="AR16" i="16" l="1"/>
  <c r="AR47" i="16"/>
  <c r="AK52" i="16"/>
  <c r="AK60" i="16"/>
  <c r="AK34" i="16"/>
  <c r="AK27" i="16"/>
  <c r="AK51" i="16"/>
  <c r="AK13" i="16"/>
  <c r="AK44"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363"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341"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R322" i="16"/>
  <c r="Q62" i="16"/>
  <c r="Q94" i="16"/>
  <c r="Q75" i="16"/>
  <c r="Q91" i="16"/>
  <c r="Q223" i="16"/>
  <c r="Q263" i="16"/>
  <c r="Q228" i="16"/>
  <c r="Q256" i="16"/>
  <c r="Q320" i="16"/>
  <c r="Q340" i="16"/>
  <c r="P65" i="16"/>
  <c r="P45" i="16"/>
  <c r="Q351" i="16" l="1"/>
  <c r="Q30" i="16"/>
  <c r="P42" i="16"/>
  <c r="Q296" i="16"/>
  <c r="Q171" i="16"/>
  <c r="Q43" i="16"/>
  <c r="Q360" i="16"/>
  <c r="Q276" i="16"/>
  <c r="Q311" i="16"/>
  <c r="Q107" i="16"/>
  <c r="Q11" i="16"/>
  <c r="P51" i="16"/>
  <c r="Q59" i="16"/>
  <c r="Q27" i="16"/>
  <c r="Q122" i="16"/>
  <c r="Q78" i="16"/>
  <c r="Q46" i="16"/>
  <c r="Q14" i="16"/>
  <c r="P44" i="16"/>
  <c r="R293" i="16"/>
  <c r="P61" i="16"/>
  <c r="P58" i="16"/>
  <c r="Q324" i="16"/>
  <c r="Q280" i="16"/>
  <c r="Q240" i="16"/>
  <c r="Q319" i="16"/>
  <c r="Q231" i="16"/>
  <c r="Q115" i="16"/>
  <c r="Q77" i="16"/>
  <c r="Q45" i="16"/>
  <c r="Q13" i="16"/>
  <c r="Q96" i="16"/>
  <c r="Q64" i="16"/>
  <c r="Q32" i="16"/>
  <c r="P47" i="16"/>
  <c r="R346" i="16"/>
  <c r="R55" i="16"/>
  <c r="P37" i="16"/>
  <c r="P38" i="16"/>
  <c r="Q344" i="16"/>
  <c r="Q304" i="16"/>
  <c r="Q260" i="16"/>
  <c r="Q359" i="16"/>
  <c r="Q279" i="16"/>
  <c r="Q179" i="16"/>
  <c r="Q93" i="16"/>
  <c r="Q61" i="16"/>
  <c r="Q29" i="16"/>
  <c r="Q130" i="16"/>
  <c r="Q80" i="16"/>
  <c r="Q48" i="16"/>
  <c r="Q16" i="16"/>
  <c r="P40" i="16"/>
  <c r="R166" i="16"/>
  <c r="R119" i="16"/>
  <c r="R223" i="16"/>
  <c r="R357" i="16"/>
  <c r="R290" i="16"/>
  <c r="R354" i="16"/>
  <c r="R277" i="16"/>
  <c r="R250" i="16"/>
  <c r="R230" i="16"/>
  <c r="R314" i="16"/>
  <c r="P29" i="16"/>
  <c r="P26" i="16"/>
  <c r="Q356" i="16"/>
  <c r="Q292" i="16"/>
  <c r="Q220" i="16"/>
  <c r="Q255" i="16"/>
  <c r="Q147" i="16"/>
  <c r="Q85" i="16"/>
  <c r="Q53" i="16"/>
  <c r="Q21" i="16"/>
  <c r="Q162" i="16"/>
  <c r="Q104" i="16"/>
  <c r="Q72" i="16"/>
  <c r="Q56" i="16"/>
  <c r="Q40" i="16"/>
  <c r="Q24" i="16"/>
  <c r="P31" i="16"/>
  <c r="P63" i="16"/>
  <c r="R282" i="16"/>
  <c r="R197" i="16"/>
  <c r="P52" i="16"/>
  <c r="P36" i="16"/>
  <c r="P59" i="16"/>
  <c r="P43" i="16"/>
  <c r="T32" i="8"/>
  <c r="M51" i="8" s="1"/>
  <c r="Q19" i="16"/>
  <c r="Q26" i="16"/>
  <c r="Q34" i="16"/>
  <c r="Q42" i="16"/>
  <c r="Q50" i="16"/>
  <c r="Q58" i="16"/>
  <c r="Q66" i="16"/>
  <c r="Q74" i="16"/>
  <c r="Q82" i="16"/>
  <c r="Q90" i="16"/>
  <c r="Q98" i="16"/>
  <c r="Q106" i="16"/>
  <c r="Q138" i="16"/>
  <c r="Q170" i="16"/>
  <c r="Q15" i="16"/>
  <c r="Q23" i="16"/>
  <c r="Q31" i="16"/>
  <c r="Q39" i="16"/>
  <c r="Q47" i="16"/>
  <c r="Q55" i="16"/>
  <c r="Q63" i="16"/>
  <c r="Q71" i="16"/>
  <c r="Q79" i="16"/>
  <c r="Q87" i="16"/>
  <c r="Q95" i="16"/>
  <c r="Q103" i="16"/>
  <c r="Q123" i="16"/>
  <c r="Q155" i="16"/>
  <c r="Q187" i="16"/>
  <c r="Q206" i="16"/>
  <c r="Q239" i="16"/>
  <c r="Q271" i="16"/>
  <c r="Q303" i="16"/>
  <c r="Q335" i="16"/>
  <c r="Q200" i="16"/>
  <c r="Q236" i="16"/>
  <c r="Q252" i="16"/>
  <c r="Q268" i="16"/>
  <c r="Q284" i="16"/>
  <c r="Q300" i="16"/>
  <c r="Q316" i="16"/>
  <c r="Q332" i="16"/>
  <c r="Q348" i="16"/>
  <c r="P62" i="16"/>
  <c r="P46" i="16"/>
  <c r="P30" i="16"/>
  <c r="P57" i="16"/>
  <c r="P41" i="16"/>
  <c r="P25" i="16"/>
  <c r="P64" i="16"/>
  <c r="P32" i="16"/>
  <c r="P55" i="16"/>
  <c r="Q12" i="16"/>
  <c r="Q20" i="16"/>
  <c r="Q36" i="16"/>
  <c r="Q44" i="16"/>
  <c r="Q60" i="16"/>
  <c r="Q68" i="16"/>
  <c r="Q84" i="16"/>
  <c r="Q92" i="16"/>
  <c r="Q114" i="16"/>
  <c r="Q146" i="16"/>
  <c r="Q17" i="16"/>
  <c r="Q25" i="16"/>
  <c r="Q41" i="16"/>
  <c r="Q49" i="16"/>
  <c r="Q65" i="16"/>
  <c r="Q73" i="16"/>
  <c r="Q89" i="16"/>
  <c r="Q97" i="16"/>
  <c r="Q131" i="16"/>
  <c r="Q163" i="16"/>
  <c r="Q215" i="16"/>
  <c r="P48" i="16"/>
  <c r="P39" i="16"/>
  <c r="Q28" i="16"/>
  <c r="Q52" i="16"/>
  <c r="Q76" i="16"/>
  <c r="Q100" i="16"/>
  <c r="Q178" i="16"/>
  <c r="Q33" i="16"/>
  <c r="Q57" i="16"/>
  <c r="Q81" i="16"/>
  <c r="Q105" i="16"/>
  <c r="Q195" i="16"/>
  <c r="P49" i="16"/>
  <c r="P50" i="16"/>
  <c r="Q336" i="16"/>
  <c r="Q312" i="16"/>
  <c r="Q272" i="16"/>
  <c r="Q248" i="16"/>
  <c r="Q343" i="16"/>
  <c r="Q295" i="16"/>
  <c r="Q190" i="16"/>
  <c r="Q101" i="16"/>
  <c r="Q69" i="16"/>
  <c r="Q37" i="16"/>
  <c r="Q88" i="16"/>
  <c r="P33" i="16"/>
  <c r="P53" i="16"/>
  <c r="P34" i="16"/>
  <c r="P54" i="16"/>
  <c r="Q352" i="16"/>
  <c r="Q328" i="16"/>
  <c r="Q308" i="16"/>
  <c r="Q288" i="16"/>
  <c r="Q264" i="16"/>
  <c r="Q244" i="16"/>
  <c r="Q212" i="16"/>
  <c r="Q327" i="16"/>
  <c r="Q287" i="16"/>
  <c r="Q247" i="16"/>
  <c r="Q203" i="16"/>
  <c r="Q139" i="16"/>
  <c r="Q99" i="16"/>
  <c r="Q83" i="16"/>
  <c r="Q67" i="16"/>
  <c r="Q51" i="16"/>
  <c r="Q35" i="16"/>
  <c r="Q18" i="16"/>
  <c r="Q154" i="16"/>
  <c r="Q102" i="16"/>
  <c r="Q86" i="16"/>
  <c r="Q70" i="16"/>
  <c r="Q54" i="16"/>
  <c r="Q38" i="16"/>
  <c r="Q22" i="16"/>
  <c r="P35" i="16"/>
  <c r="P28" i="16"/>
  <c r="P60" i="16"/>
  <c r="R258" i="16"/>
  <c r="R65" i="16"/>
  <c r="O305" i="16"/>
  <c r="R338" i="16"/>
  <c r="R306" i="16"/>
  <c r="R274" i="16"/>
  <c r="R242" i="16"/>
  <c r="R325" i="16"/>
  <c r="R261" i="16"/>
  <c r="R171" i="16"/>
  <c r="R198" i="16"/>
  <c r="R78" i="16"/>
  <c r="R361" i="16"/>
  <c r="R330" i="16"/>
  <c r="R298" i="16"/>
  <c r="R266" i="16"/>
  <c r="R229" i="16"/>
  <c r="R309" i="16"/>
  <c r="R245" i="16"/>
  <c r="R129"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1" i="8"/>
  <c r="O50" i="8"/>
  <c r="AT13" i="16"/>
  <c r="AU13" i="16" s="1"/>
  <c r="U94" i="8"/>
  <c r="AS14" i="16"/>
  <c r="AM13" i="16"/>
  <c r="AN13" i="16" s="1"/>
  <c r="M48" i="8" l="1"/>
  <c r="O118" i="8" s="1"/>
  <c r="M50" i="8"/>
  <c r="M52" i="8"/>
  <c r="M49" i="8"/>
  <c r="E51" i="8"/>
  <c r="AH93" i="8"/>
  <c r="K40" i="8"/>
  <c r="O49" i="8"/>
  <c r="O48" i="8"/>
  <c r="Q118" i="8" s="1"/>
  <c r="X92" i="8"/>
  <c r="AL92" i="8" s="1"/>
  <c r="AU11" i="16"/>
  <c r="AH92" i="8" s="1"/>
  <c r="AH94" i="8"/>
  <c r="E52" i="8"/>
  <c r="K38" i="8"/>
  <c r="M121" i="8"/>
  <c r="X93" i="8"/>
  <c r="AL93" i="8" s="1"/>
  <c r="M118" i="8"/>
  <c r="M119" i="8"/>
  <c r="O121" i="8"/>
  <c r="O120" i="8"/>
  <c r="Q120" i="8"/>
  <c r="AM14" i="16"/>
  <c r="AN14" i="16" s="1"/>
  <c r="X94" i="8"/>
  <c r="AL94" i="8" s="1"/>
  <c r="AT14" i="16"/>
  <c r="AU14" i="16" s="1"/>
  <c r="U95" i="8"/>
  <c r="AS15" i="16"/>
  <c r="O119" i="8" l="1"/>
  <c r="Q119" i="8"/>
  <c r="Q121"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H103" i="8" s="1"/>
  <c r="AT22" i="16"/>
  <c r="AU22" i="16" s="1"/>
  <c r="AS23" i="16"/>
  <c r="AM23" i="16" l="1"/>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<sst xmlns="http://schemas.openxmlformats.org/spreadsheetml/2006/main" count="9790" uniqueCount="902">
  <si>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</si>
  <si>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</si>
  <si>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</si>
  <si>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</si>
  <si>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</si>
  <si>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</si>
  <si>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</si>
  <si>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</si>
  <si>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</si>
  <si>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</si>
  <si>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</si>
  <si>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</si>
  <si>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</si>
  <si>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</si>
  <si>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</si>
  <si>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</si>
  <si>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</si>
  <si>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</si>
  <si>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</si>
  <si>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</si>
  <si>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</si>
  <si>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</si>
  <si>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</si>
  <si>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</si>
  <si>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</si>
  <si>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</si>
  <si>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</si>
  <si>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</si>
  <si>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</si>
  <si>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</si>
  <si>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</si>
  <si>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</si>
  <si>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</si>
  <si>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</si>
  <si>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</si>
  <si>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</si>
  <si>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</si>
  <si>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</si>
  <si>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</si>
  <si>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</si>
  <si>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</si>
  <si>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</si>
  <si>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</si>
  <si>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</si>
  <si>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</si>
  <si>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</si>
  <si>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</si>
  <si>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</si>
  <si>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</si>
  <si>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</si>
  <si>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</si>
  <si>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</si>
  <si>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</si>
  <si>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</si>
  <si>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</si>
  <si>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</si>
  <si>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</si>
  <si>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</si>
  <si>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</si>
  <si>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</si>
  <si>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</si>
  <si>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</si>
  <si>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</si>
  <si>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</si>
  <si>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</si>
  <si>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</si>
  <si>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</si>
  <si>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</si>
  <si>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</si>
  <si>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</si>
  <si>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</si>
  <si>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</si>
  <si>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</si>
  <si>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</si>
  <si>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</si>
  <si>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</si>
  <si>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</si>
  <si>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</si>
  <si>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</si>
  <si>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</si>
  <si>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</si>
  <si>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</si>
  <si>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</si>
  <si>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</si>
  <si>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</si>
  <si>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</si>
  <si>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</si>
  <si>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</si>
  <si>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</si>
  <si>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</si>
  <si>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</si>
  <si>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</si>
  <si>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</si>
  <si>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</si>
  <si>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</si>
  <si>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</si>
  <si>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</si>
  <si>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</si>
  <si>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</si>
  <si>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</si>
  <si>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</si>
  <si>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</si>
  <si>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</si>
  <si>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</si>
  <si>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</si>
  <si>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</si>
  <si>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</si>
  <si>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</si>
  <si>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</si>
  <si>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</si>
  <si>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</si>
  <si>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</si>
  <si>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</si>
  <si>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</si>
  <si>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</si>
  <si>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</si>
  <si>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</si>
  <si>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</si>
  <si>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</si>
  <si>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</si>
  <si>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</si>
  <si>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</si>
  <si>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</si>
  <si>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</si>
  <si>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</si>
  <si>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</si>
  <si>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</si>
  <si>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</si>
  <si>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</si>
  <si>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</si>
  <si>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</si>
  <si>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</si>
  <si>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</si>
  <si>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</si>
  <si>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</si>
  <si>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</si>
  <si>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</si>
  <si>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</si>
  <si>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</si>
  <si>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</si>
  <si>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</si>
  <si>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</si>
  <si>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</si>
  <si>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</si>
  <si>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</si>
  <si>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</si>
  <si>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</si>
  <si>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</si>
  <si>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</si>
  <si>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</si>
  <si>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</si>
  <si>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</si>
  <si>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</si>
  <si>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</si>
  <si>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</si>
  <si>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</si>
  <si>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</si>
  <si>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</si>
  <si>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</si>
  <si>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</si>
  <si>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</si>
  <si>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</si>
  <si>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</si>
  <si>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</si>
  <si>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</si>
  <si>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</si>
  <si>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</si>
  <si>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</si>
  <si>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</si>
  <si>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</si>
  <si>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</si>
  <si>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</si>
  <si>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</si>
  <si>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</si>
  <si>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</si>
  <si>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</si>
  <si>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</si>
  <si>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</si>
  <si>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</si>
  <si>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</si>
  <si>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</si>
  <si>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</si>
  <si>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</si>
  <si>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</si>
  <si>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</si>
  <si>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</si>
  <si>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</si>
  <si>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</si>
  <si>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</si>
  <si>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</si>
  <si>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</si>
  <si>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</si>
  <si>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</si>
  <si>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</si>
  <si>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</si>
  <si>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</si>
  <si>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</si>
  <si>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</si>
  <si>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</si>
  <si>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</si>
  <si>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</si>
  <si>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</si>
  <si>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</si>
  <si>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</si>
  <si>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</si>
  <si>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</si>
  <si>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</si>
  <si>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</si>
  <si>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</si>
  <si>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</si>
  <si>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</si>
  <si>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</si>
  <si>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</si>
  <si>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</si>
  <si>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</si>
  <si>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</si>
  <si>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</si>
  <si>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</si>
  <si>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</si>
  <si>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</si>
  <si>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</si>
  <si>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</si>
  <si>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</si>
  <si>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</si>
  <si>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</si>
  <si>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</si>
  <si>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</si>
  <si>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</si>
  <si>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</si>
  <si>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</si>
  <si>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</si>
  <si>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</si>
  <si>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</si>
  <si>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</si>
  <si>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</si>
  <si>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</si>
  <si>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</si>
  <si>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</si>
  <si>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</si>
  <si>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</si>
  <si>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</si>
  <si>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</si>
  <si>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</si>
  <si>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</si>
  <si>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</si>
  <si>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</si>
  <si>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</si>
  <si>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</si>
  <si>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</si>
  <si>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</si>
  <si>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</si>
  <si>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</si>
  <si>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</si>
  <si>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</si>
  <si>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</si>
  <si>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</si>
  <si>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</si>
  <si>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</si>
  <si>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</si>
  <si>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</si>
  <si>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</si>
  <si>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</si>
  <si>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</si>
  <si>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</si>
  <si>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</si>
  <si>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</si>
  <si>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</si>
  <si>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</si>
  <si>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</si>
  <si>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</si>
  <si>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</si>
  <si>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</si>
  <si>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</si>
  <si>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</si>
  <si>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</si>
  <si>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</si>
  <si>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</si>
  <si>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</si>
  <si>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</si>
  <si>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</si>
  <si>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</si>
  <si>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</si>
  <si>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</si>
  <si>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</si>
  <si>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</si>
  <si>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</si>
  <si>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</si>
  <si>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</si>
  <si>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</si>
  <si>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</si>
  <si>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</si>
  <si>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</si>
  <si>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</si>
  <si>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</si>
  <si>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</si>
  <si>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</si>
  <si>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</si>
  <si>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</si>
  <si>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</si>
  <si>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</si>
  <si>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</si>
  <si>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</si>
  <si>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</si>
  <si>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</si>
  <si>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</si>
  <si>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</si>
  <si>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</si>
  <si>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</si>
  <si>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</si>
  <si>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</si>
  <si>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</si>
  <si>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</si>
  <si>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</si>
  <si>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</si>
  <si>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</si>
  <si>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</si>
  <si>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</si>
  <si>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</si>
  <si>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</si>
  <si>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</si>
  <si>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</si>
  <si>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</si>
  <si>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</si>
  <si>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</si>
  <si>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</si>
  <si>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</si>
  <si>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</si>
  <si>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</si>
  <si>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</si>
  <si>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</si>
  <si>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</si>
  <si>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</si>
  <si>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</si>
  <si>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</si>
  <si>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</si>
  <si>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</si>
  <si>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</si>
  <si>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</si>
  <si>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</si>
  <si>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</si>
  <si>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</si>
  <si>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</si>
  <si>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</si>
  <si>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</si>
  <si>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</si>
  <si>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</si>
  <si>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</si>
  <si>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</si>
  <si>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</si>
  <si>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</si>
  <si>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</si>
  <si>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</si>
  <si>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</si>
  <si>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</si>
  <si>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</si>
  <si>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</si>
  <si>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</si>
  <si>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</si>
  <si>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</si>
  <si>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</si>
  <si>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</si>
  <si>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</si>
  <si>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</si>
  <si>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</si>
  <si>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</si>
  <si>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</si>
  <si>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</si>
  <si>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</si>
  <si>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</si>
  <si>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</si>
  <si>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</si>
  <si>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</si>
  <si>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</si>
  <si>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</si>
  <si>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</si>
  <si>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</si>
  <si>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</si>
  <si>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</si>
  <si>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</si>
  <si>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</si>
  <si>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</si>
  <si>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</si>
  <si>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</si>
  <si>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</si>
  <si>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</si>
  <si>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</si>
  <si>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</si>
  <si>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</si>
  <si>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</si>
  <si>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</si>
  <si>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</si>
  <si>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</si>
  <si>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</si>
  <si>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</si>
  <si>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</si>
  <si>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</si>
  <si>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</si>
  <si>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</si>
  <si>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</si>
  <si>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</si>
  <si>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</si>
  <si>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</si>
  <si>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</si>
  <si>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</si>
  <si>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</si>
  <si>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</si>
  <si>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</si>
  <si>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</si>
  <si>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</si>
  <si>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</si>
  <si>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</si>
  <si>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</si>
  <si>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</si>
  <si>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</si>
  <si>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</si>
  <si>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</si>
  <si>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</si>
  <si>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</si>
  <si>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</si>
  <si>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</si>
  <si>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</si>
  <si>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</si>
  <si>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</si>
  <si>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</si>
  <si>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</si>
  <si>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</si>
  <si>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</si>
  <si>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</si>
  <si>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</si>
  <si>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</si>
  <si>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</si>
  <si>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</si>
  <si>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</si>
  <si>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</si>
  <si>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</si>
  <si>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</si>
  <si>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</si>
  <si>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</si>
  <si>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</si>
  <si>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</si>
  <si>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</si>
  <si>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</si>
  <si>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</si>
  <si>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</si>
  <si>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</si>
  <si>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</si>
  <si>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</si>
  <si>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</si>
  <si>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</si>
  <si>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</si>
  <si>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</si>
  <si>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</si>
  <si>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</si>
  <si>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</si>
  <si>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</si>
  <si>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</si>
  <si>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</si>
  <si>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</si>
  <si>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</si>
  <si>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</si>
  <si>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</si>
  <si>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</si>
  <si>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</si>
  <si>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</si>
  <si>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</si>
  <si>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</si>
  <si>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</si>
  <si>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</si>
  <si>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</si>
  <si>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</si>
  <si>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</si>
  <si>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</si>
  <si>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</si>
  <si>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</si>
  <si>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</si>
  <si>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</si>
  <si>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</si>
  <si>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</si>
  <si>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</si>
  <si>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</si>
  <si>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</si>
  <si>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</si>
  <si>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</si>
  <si>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</si>
  <si>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</si>
  <si>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</si>
  <si>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</si>
  <si>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</si>
  <si>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</si>
  <si>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</si>
  <si>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</si>
  <si>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</si>
  <si>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</si>
  <si>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</si>
  <si>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</si>
  <si>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</si>
  <si>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</si>
  <si>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</si>
  <si>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</si>
  <si>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</si>
  <si>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</si>
  <si>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</si>
  <si>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</si>
  <si>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</si>
  <si>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</si>
  <si>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</si>
  <si>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</si>
  <si>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</si>
  <si>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</si>
  <si>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</si>
  <si>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</si>
  <si>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</si>
  <si>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</si>
  <si>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</si>
  <si>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</si>
  <si>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</si>
  <si>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</si>
  <si>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</si>
  <si>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</si>
  <si>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</si>
  <si>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</si>
  <si>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</si>
  <si>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</si>
  <si>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</si>
  <si>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</si>
  <si>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</si>
  <si>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</si>
  <si>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</si>
  <si>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</si>
  <si>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</si>
  <si>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</si>
  <si>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</si>
  <si>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</si>
  <si>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</si>
  <si>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</si>
  <si>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</si>
  <si>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</si>
  <si>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</si>
  <si>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</si>
  <si>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</si>
  <si>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</si>
  <si>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</si>
  <si>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</si>
  <si>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</si>
  <si>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</si>
  <si>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</si>
  <si>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</si>
  <si>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</si>
  <si>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</si>
  <si>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</si>
  <si>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</si>
  <si>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</si>
  <si>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</si>
  <si>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</si>
  <si>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</si>
  <si>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</si>
  <si>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</si>
  <si>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</si>
  <si>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</si>
  <si>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</si>
  <si>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</si>
  <si>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</si>
  <si>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</si>
  <si>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</si>
  <si>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</si>
  <si>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</si>
  <si>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</si>
  <si>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</si>
  <si>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</si>
  <si>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</si>
  <si>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</si>
  <si>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</si>
  <si>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</si>
  <si>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</si>
  <si>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</si>
  <si>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</si>
  <si>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</si>
  <si>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</si>
  <si>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</si>
  <si>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</si>
  <si>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</si>
  <si>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</si>
  <si>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</si>
  <si>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</si>
  <si>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</si>
  <si>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</si>
  <si>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</si>
  <si>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</si>
  <si>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</si>
  <si>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</si>
  <si>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</si>
  <si>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</si>
  <si>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</si>
  <si>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</si>
  <si>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</si>
  <si>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</si>
  <si>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</si>
  <si>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</si>
  <si>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</si>
  <si>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</si>
  <si>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</si>
  <si>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</si>
  <si>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</si>
  <si>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</si>
  <si>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</si>
  <si>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</si>
  <si>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</si>
  <si>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</si>
  <si>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</si>
  <si>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</si>
  <si>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</si>
  <si>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</si>
  <si>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</si>
  <si>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</si>
  <si>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</si>
  <si>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</si>
  <si>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</si>
  <si>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</si>
  <si>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</si>
  <si>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</si>
  <si>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</si>
  <si>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</si>
  <si>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</si>
  <si>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</si>
  <si>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</si>
  <si>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</si>
  <si>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</si>
  <si>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</si>
  <si>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</si>
  <si>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</si>
  <si>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</si>
  <si>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</si>
  <si>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</si>
  <si>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</si>
  <si>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</si>
  <si>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</si>
  <si>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</si>
  <si>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</si>
  <si>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</si>
  <si>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</si>
  <si>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</si>
  <si>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</si>
  <si>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</si>
  <si>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</si>
  <si>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</si>
  <si>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</si>
  <si>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</si>
  <si>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</si>
  <si>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</si>
  <si>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</si>
  <si>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</si>
  <si>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</si>
  <si>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</si>
  <si>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</si>
  <si>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</si>
  <si>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</si>
  <si>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</si>
  <si>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</si>
  <si>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</si>
  <si>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</si>
  <si>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</si>
  <si>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</si>
  <si>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</si>
  <si>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</si>
  <si>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</si>
  <si>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</si>
  <si>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</si>
  <si>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</si>
  <si>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</si>
  <si>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</si>
  <si>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</si>
  <si>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</si>
  <si>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</si>
  <si>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</si>
  <si>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</si>
  <si>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</si>
  <si>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</si>
  <si>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</si>
  <si>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</si>
  <si>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</si>
  <si>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</si>
  <si>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</si>
  <si>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</si>
  <si>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</si>
  <si>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</si>
  <si>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</si>
  <si>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</si>
  <si>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</si>
  <si>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</si>
  <si>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</si>
  <si>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</si>
  <si>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</si>
  <si>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</si>
  <si>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</si>
  <si>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</si>
  <si>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</si>
  <si>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</si>
  <si>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</si>
  <si>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</si>
  <si>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</si>
  <si>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</si>
  <si>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</si>
  <si>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</si>
  <si>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</si>
  <si>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</si>
  <si>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</si>
  <si>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</si>
  <si>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</si>
  <si>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</si>
  <si>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</si>
  <si>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</si>
  <si>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</si>
  <si>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</si>
  <si>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</si>
  <si>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</si>
  <si>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</si>
  <si>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</si>
  <si>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</si>
  <si>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</si>
  <si>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</si>
  <si>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</si>
  <si>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</si>
  <si>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</si>
  <si>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</si>
  <si>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</si>
  <si>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</si>
  <si>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</si>
  <si>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</si>
  <si>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</si>
  <si>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</si>
  <si>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</si>
  <si>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</si>
  <si>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</si>
  <si>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</si>
  <si>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</si>
  <si>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</si>
  <si>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</si>
  <si>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</si>
  <si>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</si>
  <si>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</si>
  <si>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</si>
  <si>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</si>
  <si>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</si>
  <si>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</si>
  <si>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</si>
  <si>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</si>
  <si>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</si>
  <si>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</si>
  <si>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</si>
  <si>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</si>
  <si>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</si>
  <si>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</si>
  <si>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</si>
  <si>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</si>
  <si>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</si>
  <si>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</si>
  <si>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</si>
  <si>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</si>
  <si>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</si>
  <si>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</si>
  <si>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</si>
  <si>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</si>
  <si>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</si>
  <si>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</si>
  <si>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</si>
  <si>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</si>
  <si>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</si>
  <si>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</si>
  <si>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</si>
  <si>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</si>
  <si>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</si>
  <si>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</si>
  <si>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</si>
  <si>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</si>
  <si>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</si>
  <si>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</si>
  <si>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</si>
  <si>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</si>
  <si>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</si>
  <si>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</si>
  <si>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</si>
  <si>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</si>
  <si>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</si>
  <si>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</si>
  <si>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</si>
  <si>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</si>
  <si>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</si>
  <si>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</si>
  <si>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</si>
  <si>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</si>
  <si>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</si>
  <si>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</si>
  <si>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</si>
  <si>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</si>
  <si>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</si>
  <si>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</si>
  <si>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</si>
  <si>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</si>
  <si>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</si>
  <si>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</si>
  <si>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</si>
  <si>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</si>
  <si>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</si>
  <si>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</si>
  <si>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</si>
  <si>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</si>
  <si>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</si>
  <si>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</si>
  <si>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</si>
  <si>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</si>
  <si>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</si>
  <si>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</si>
  <si>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</si>
  <si>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</si>
  <si>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</si>
  <si>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</si>
  <si>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</si>
  <si>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</si>
  <si>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</si>
  <si>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</si>
  <si>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</si>
  <si>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</si>
  <si>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</si>
  <si>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</si>
  <si>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</si>
  <si>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</si>
  <si>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</si>
  <si>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</si>
  <si>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</si>
  <si>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</si>
  <si>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</si>
  <si>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</si>
  <si>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</si>
  <si>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</si>
  <si>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</si>
  <si>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</si>
  <si>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</si>
  <si>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</si>
  <si>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</si>
  <si>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</si>
  <si>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</si>
  <si>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</si>
  <si>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</si>
  <si>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</si>
  <si>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</si>
  <si>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</si>
  <si>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</si>
  <si>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</si>
  <si>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</si>
  <si>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</si>
  <si>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</si>
  <si>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</si>
  <si>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</si>
  <si>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</si>
  <si>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</si>
  <si>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</si>
  <si>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</si>
  <si>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</si>
  <si>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</si>
  <si>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</si>
  <si>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</si>
  <si>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</si>
  <si>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</si>
  <si>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</si>
  <si>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</si>
  <si>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</si>
  <si>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</si>
  <si>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</si>
  <si>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</si>
  <si>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</si>
  <si>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</si>
  <si>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</si>
  <si>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</si>
  <si>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</si>
  <si>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</si>
  <si>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</si>
  <si>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</si>
  <si>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</si>
  <si>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</si>
  <si>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</si>
  <si>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</si>
  <si>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</si>
  <si>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</si>
  <si>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</si>
  <si>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</si>
  <si>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</si>
  <si>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</si>
  <si>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</si>
  <si>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</si>
  <si>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</si>
  <si>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</si>
  <si>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</si>
  <si>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</si>
  <si>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</si>
  <si>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</si>
  <si>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Council tax collected by 31 March as a % of amount collectable</t>
  </si>
  <si>
    <t>Non Domestic Rates collected by 31 March as a % of amount collectable</t>
  </si>
  <si>
    <t>2012-13</t>
  </si>
  <si>
    <t>2013-14</t>
  </si>
  <si>
    <t>www.gov.uk</t>
  </si>
  <si>
    <t>Council tax and NNDR collection rates</t>
  </si>
  <si>
    <t>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</si>
</sst>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4" fillId="23" borderId="0" xfId="0" quotePrefix="1" applyNumberFormat="1" applyFont="1" applyFill="1" applyAlignment="1">
      <alignment horizontal="center"/>
    </xf>
    <xf numFmtId="0" fontId="7"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7" fillId="0" borderId="0" xfId="0" applyFont="1" applyAlignment="1">
      <alignment horizontal="left"/>
    </xf>
    <xf numFmtId="2" fontId="0" fillId="0" borderId="0" xfId="4" applyNumberFormat="1"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2" fontId="7" fillId="0" borderId="0" xfId="4" applyNumberFormat="1" applyFont="1" applyAlignment="1">
      <alignment horizontal="right"/>
    </xf>
    <xf numFmtId="1" fontId="0" fillId="0" borderId="0" xfId="0" applyNumberFormat="1" applyAlignment="1">
      <alignment horizontal="center"/>
    </xf>
    <xf numFmtId="0" fontId="22" fillId="23" borderId="0" xfId="0" applyFont="1" applyFill="1" applyAlignment="1">
      <alignment horizontal="center" vertical="center"/>
    </xf>
    <xf numFmtId="0" fontId="38" fillId="23" borderId="0" xfId="0" applyFont="1" applyFill="1" applyAlignment="1">
      <alignment horizontal="center" vertical="center"/>
    </xf>
    <xf numFmtId="0" fontId="19" fillId="0" borderId="0" xfId="0" applyFont="1" applyAlignment="1">
      <alignment horizont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7" fillId="23" borderId="0" xfId="0" applyFont="1" applyFill="1" applyAlignment="1">
      <alignment horizontal="center" vertical="center"/>
    </xf>
    <xf numFmtId="0" fontId="9" fillId="2" borderId="4" xfId="0" applyFont="1" applyFill="1" applyBorder="1" applyAlignment="1">
      <alignment horizontal="center"/>
    </xf>
    <xf numFmtId="1" fontId="8" fillId="0" borderId="4" xfId="4" applyNumberFormat="1" applyFont="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7"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2" fontId="7" fillId="21" borderId="0" xfId="4" applyNumberFormat="1" applyFont="1" applyFill="1" applyAlignment="1">
      <alignment horizontal="center"/>
    </xf>
    <xf numFmtId="0" fontId="7" fillId="21" borderId="0" xfId="0"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0"/>
                <c:pt idx="9">
                  <c:v>u</c:v>
                </c:pt>
              </c:strCache>
            </c:strRef>
          </c:cat>
          <c:val>
            <c:numRef>
              <c:f>[0]!TopQuart</c:f>
              <c:numCache>
                <c:formatCode>General</c:formatCode>
                <c:ptCount val="55"/>
                <c:pt idx="0">
                  <c:v>99.29</c:v>
                </c:pt>
                <c:pt idx="1">
                  <c:v>98.85</c:v>
                </c:pt>
                <c:pt idx="2">
                  <c:v>98.78</c:v>
                </c:pt>
                <c:pt idx="3">
                  <c:v>98.54</c:v>
                </c:pt>
                <c:pt idx="4">
                  <c:v>98.4</c:v>
                </c:pt>
                <c:pt idx="5">
                  <c:v>98.36</c:v>
                </c:pt>
                <c:pt idx="6">
                  <c:v>98.25</c:v>
                </c:pt>
                <c:pt idx="7">
                  <c:v>98.12</c:v>
                </c:pt>
                <c:pt idx="8">
                  <c:v>98.1</c:v>
                </c:pt>
                <c:pt idx="9">
                  <c:v>98.05</c:v>
                </c:pt>
                <c:pt idx="10">
                  <c:v>97.76</c:v>
                </c:pt>
                <c:pt idx="11">
                  <c:v>97.73</c:v>
                </c:pt>
                <c:pt idx="12">
                  <c:v>97.7</c:v>
                </c:pt>
                <c:pt idx="13">
                  <c:v>97.64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0"/>
                <c:pt idx="9">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97.58</c:v>
                </c:pt>
                <c:pt idx="15">
                  <c:v>97.58</c:v>
                </c:pt>
                <c:pt idx="16">
                  <c:v>97.58</c:v>
                </c:pt>
                <c:pt idx="17">
                  <c:v>97.57</c:v>
                </c:pt>
                <c:pt idx="18">
                  <c:v>97.53</c:v>
                </c:pt>
                <c:pt idx="19">
                  <c:v>97.52</c:v>
                </c:pt>
                <c:pt idx="20">
                  <c:v>97.47</c:v>
                </c:pt>
                <c:pt idx="21">
                  <c:v>97.46</c:v>
                </c:pt>
                <c:pt idx="22">
                  <c:v>97.4</c:v>
                </c:pt>
                <c:pt idx="23">
                  <c:v>97.4</c:v>
                </c:pt>
                <c:pt idx="24">
                  <c:v>97.22</c:v>
                </c:pt>
                <c:pt idx="25">
                  <c:v>97.13</c:v>
                </c:pt>
                <c:pt idx="26">
                  <c:v>97.1</c:v>
                </c:pt>
                <c:pt idx="27">
                  <c:v>97.09</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0"/>
                <c:pt idx="9">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96.93</c:v>
                </c:pt>
                <c:pt idx="29">
                  <c:v>96.86</c:v>
                </c:pt>
                <c:pt idx="30">
                  <c:v>96.6</c:v>
                </c:pt>
                <c:pt idx="31">
                  <c:v>96.46</c:v>
                </c:pt>
                <c:pt idx="32">
                  <c:v>96.46</c:v>
                </c:pt>
                <c:pt idx="33">
                  <c:v>96.38</c:v>
                </c:pt>
                <c:pt idx="34">
                  <c:v>96.08</c:v>
                </c:pt>
                <c:pt idx="35">
                  <c:v>96.06</c:v>
                </c:pt>
                <c:pt idx="36">
                  <c:v>95.83</c:v>
                </c:pt>
                <c:pt idx="37">
                  <c:v>95.8</c:v>
                </c:pt>
                <c:pt idx="38">
                  <c:v>95.55</c:v>
                </c:pt>
                <c:pt idx="39">
                  <c:v>95.44</c:v>
                </c:pt>
                <c:pt idx="40">
                  <c:v>95.36</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0"/>
                <c:pt idx="9">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95.26</c:v>
                </c:pt>
                <c:pt idx="42">
                  <c:v>95.24</c:v>
                </c:pt>
                <c:pt idx="43">
                  <c:v>95.13</c:v>
                </c:pt>
                <c:pt idx="44">
                  <c:v>94.88</c:v>
                </c:pt>
                <c:pt idx="45">
                  <c:v>94.88</c:v>
                </c:pt>
                <c:pt idx="46">
                  <c:v>94.82</c:v>
                </c:pt>
                <c:pt idx="47">
                  <c:v>94.81</c:v>
                </c:pt>
                <c:pt idx="48">
                  <c:v>94.21</c:v>
                </c:pt>
                <c:pt idx="49">
                  <c:v>93.95</c:v>
                </c:pt>
                <c:pt idx="50">
                  <c:v>93.85</c:v>
                </c:pt>
                <c:pt idx="51">
                  <c:v>93.43</c:v>
                </c:pt>
                <c:pt idx="52">
                  <c:v>93.3</c:v>
                </c:pt>
                <c:pt idx="53">
                  <c:v>93.17</c:v>
                </c:pt>
                <c:pt idx="54">
                  <c:v>93.09</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0"/>
                <c:pt idx="9">
                  <c:v>u</c:v>
                </c:pt>
              </c:strCache>
            </c:strRef>
          </c:cat>
          <c:val>
            <c:numRef>
              <c:f>[0]!MarkData</c:f>
              <c:numCache>
                <c:formatCode>0.00</c:formatCode>
                <c:ptCount val="55"/>
                <c:pt idx="0">
                  <c:v>99.29</c:v>
                </c:pt>
                <c:pt idx="1">
                  <c:v>98.85</c:v>
                </c:pt>
                <c:pt idx="2">
                  <c:v>98.78</c:v>
                </c:pt>
                <c:pt idx="3">
                  <c:v>98.54</c:v>
                </c:pt>
                <c:pt idx="4">
                  <c:v>98.4</c:v>
                </c:pt>
                <c:pt idx="5">
                  <c:v>98.36</c:v>
                </c:pt>
                <c:pt idx="6">
                  <c:v>98.25</c:v>
                </c:pt>
                <c:pt idx="7">
                  <c:v>98.12</c:v>
                </c:pt>
                <c:pt idx="8">
                  <c:v>98.1</c:v>
                </c:pt>
                <c:pt idx="9">
                  <c:v>98.05</c:v>
                </c:pt>
                <c:pt idx="10">
                  <c:v>97.76</c:v>
                </c:pt>
                <c:pt idx="11">
                  <c:v>97.73</c:v>
                </c:pt>
                <c:pt idx="12">
                  <c:v>97.7</c:v>
                </c:pt>
                <c:pt idx="13">
                  <c:v>97.64</c:v>
                </c:pt>
                <c:pt idx="14">
                  <c:v>97.58</c:v>
                </c:pt>
                <c:pt idx="15">
                  <c:v>97.58</c:v>
                </c:pt>
                <c:pt idx="16">
                  <c:v>97.58</c:v>
                </c:pt>
                <c:pt idx="17">
                  <c:v>97.57</c:v>
                </c:pt>
                <c:pt idx="18">
                  <c:v>97.53</c:v>
                </c:pt>
                <c:pt idx="19">
                  <c:v>97.52</c:v>
                </c:pt>
                <c:pt idx="20">
                  <c:v>97.47</c:v>
                </c:pt>
                <c:pt idx="21">
                  <c:v>97.46</c:v>
                </c:pt>
                <c:pt idx="22">
                  <c:v>97.4</c:v>
                </c:pt>
                <c:pt idx="23">
                  <c:v>97.4</c:v>
                </c:pt>
                <c:pt idx="24">
                  <c:v>97.22</c:v>
                </c:pt>
                <c:pt idx="25">
                  <c:v>97.13</c:v>
                </c:pt>
                <c:pt idx="26">
                  <c:v>97.1</c:v>
                </c:pt>
                <c:pt idx="27">
                  <c:v>97.09</c:v>
                </c:pt>
                <c:pt idx="28">
                  <c:v>96.93</c:v>
                </c:pt>
                <c:pt idx="29">
                  <c:v>96.86</c:v>
                </c:pt>
                <c:pt idx="30">
                  <c:v>96.6</c:v>
                </c:pt>
                <c:pt idx="31">
                  <c:v>96.46</c:v>
                </c:pt>
                <c:pt idx="32">
                  <c:v>96.46</c:v>
                </c:pt>
                <c:pt idx="33">
                  <c:v>96.38</c:v>
                </c:pt>
                <c:pt idx="34">
                  <c:v>96.08</c:v>
                </c:pt>
                <c:pt idx="35">
                  <c:v>96.06</c:v>
                </c:pt>
                <c:pt idx="36">
                  <c:v>95.83</c:v>
                </c:pt>
                <c:pt idx="37">
                  <c:v>95.8</c:v>
                </c:pt>
                <c:pt idx="38">
                  <c:v>95.55</c:v>
                </c:pt>
                <c:pt idx="39">
                  <c:v>95.44</c:v>
                </c:pt>
                <c:pt idx="40">
                  <c:v>95.36</c:v>
                </c:pt>
                <c:pt idx="41">
                  <c:v>95.26</c:v>
                </c:pt>
                <c:pt idx="42">
                  <c:v>95.24</c:v>
                </c:pt>
                <c:pt idx="43">
                  <c:v>95.13</c:v>
                </c:pt>
                <c:pt idx="44">
                  <c:v>94.88</c:v>
                </c:pt>
                <c:pt idx="45">
                  <c:v>94.88</c:v>
                </c:pt>
                <c:pt idx="46">
                  <c:v>94.82</c:v>
                </c:pt>
                <c:pt idx="47">
                  <c:v>94.81</c:v>
                </c:pt>
                <c:pt idx="48">
                  <c:v>94.21</c:v>
                </c:pt>
                <c:pt idx="49">
                  <c:v>93.95</c:v>
                </c:pt>
                <c:pt idx="50">
                  <c:v>93.85</c:v>
                </c:pt>
                <c:pt idx="51">
                  <c:v>93.43</c:v>
                </c:pt>
                <c:pt idx="52">
                  <c:v>93.3</c:v>
                </c:pt>
                <c:pt idx="53">
                  <c:v>93.17</c:v>
                </c:pt>
                <c:pt idx="54">
                  <c:v>93.09</c:v>
                </c:pt>
              </c:numCache>
            </c:numRef>
          </c:val>
        </c:ser>
        <c:dLbls>
          <c:showLegendKey val="0"/>
          <c:showVal val="0"/>
          <c:showCatName val="0"/>
          <c:showSerName val="0"/>
          <c:showPercent val="0"/>
          <c:showBubbleSize val="0"/>
        </c:dLbls>
        <c:gapWidth val="0"/>
        <c:overlap val="100"/>
        <c:axId val="553556712"/>
        <c:axId val="553557104"/>
      </c:barChart>
      <c:catAx>
        <c:axId val="553556712"/>
        <c:scaling>
          <c:orientation val="minMax"/>
        </c:scaling>
        <c:delete val="0"/>
        <c:axPos val="b"/>
        <c:numFmt formatCode="General" sourceLinked="1"/>
        <c:majorTickMark val="none"/>
        <c:minorTickMark val="none"/>
        <c:tickLblPos val="none"/>
        <c:crossAx val="553557104"/>
        <c:crosses val="autoZero"/>
        <c:auto val="1"/>
        <c:lblAlgn val="ctr"/>
        <c:lblOffset val="100"/>
        <c:noMultiLvlLbl val="0"/>
      </c:catAx>
      <c:valAx>
        <c:axId val="553557104"/>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53556712"/>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Cheshire East</c:v>
                </c:pt>
                <c:pt idx="1">
                  <c:v>Unitaries</c:v>
                </c:pt>
                <c:pt idx="2">
                  <c:v>Family</c:v>
                </c:pt>
                <c:pt idx="3">
                  <c:v>Regional</c:v>
                </c:pt>
                <c:pt idx="4">
                  <c:v>Rural</c:v>
                </c:pt>
              </c:strCache>
            </c:strRef>
          </c:cat>
          <c:val>
            <c:numRef>
              <c:f>Profile!$E$48:$E$52</c:f>
              <c:numCache>
                <c:formatCode>0.00</c:formatCode>
                <c:ptCount val="5"/>
                <c:pt idx="0">
                  <c:v>98.05</c:v>
                </c:pt>
                <c:pt idx="1">
                  <c:v>96.527818181818205</c:v>
                </c:pt>
                <c:pt idx="2">
                  <c:v>97.796250000000001</c:v>
                </c:pt>
                <c:pt idx="3">
                  <c:v>96.225000000000009</c:v>
                </c:pt>
                <c:pt idx="4">
                  <c:v>97.581666666666663</c:v>
                </c:pt>
              </c:numCache>
            </c:numRef>
          </c:val>
        </c:ser>
        <c:dLbls>
          <c:showLegendKey val="0"/>
          <c:showVal val="0"/>
          <c:showCatName val="0"/>
          <c:showSerName val="0"/>
          <c:showPercent val="0"/>
          <c:showBubbleSize val="0"/>
        </c:dLbls>
        <c:gapWidth val="39"/>
        <c:overlap val="100"/>
        <c:axId val="553557888"/>
        <c:axId val="5535582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97.61</c:v>
                </c:pt>
                <c:pt idx="1">
                  <c:v>97.61</c:v>
                </c:pt>
                <c:pt idx="2">
                  <c:v>97.61</c:v>
                </c:pt>
                <c:pt idx="3">
                  <c:v>97.61</c:v>
                </c:pt>
                <c:pt idx="4">
                  <c:v>97.61</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97.09</c:v>
                </c:pt>
                <c:pt idx="1">
                  <c:v>97.09</c:v>
                </c:pt>
                <c:pt idx="2">
                  <c:v>97.09</c:v>
                </c:pt>
                <c:pt idx="3">
                  <c:v>97.09</c:v>
                </c:pt>
                <c:pt idx="4">
                  <c:v>97.09</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95.31</c:v>
                </c:pt>
                <c:pt idx="1">
                  <c:v>95.31</c:v>
                </c:pt>
                <c:pt idx="2">
                  <c:v>95.31</c:v>
                </c:pt>
                <c:pt idx="3">
                  <c:v>95.31</c:v>
                </c:pt>
                <c:pt idx="4">
                  <c:v>95.31</c:v>
                </c:pt>
              </c:numCache>
            </c:numRef>
          </c:val>
          <c:smooth val="0"/>
        </c:ser>
        <c:dLbls>
          <c:showLegendKey val="0"/>
          <c:showVal val="0"/>
          <c:showCatName val="0"/>
          <c:showSerName val="0"/>
          <c:showPercent val="0"/>
          <c:showBubbleSize val="0"/>
        </c:dLbls>
        <c:marker val="1"/>
        <c:smooth val="0"/>
        <c:axId val="553557888"/>
        <c:axId val="553558280"/>
      </c:lineChart>
      <c:catAx>
        <c:axId val="55355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53558280"/>
        <c:crosses val="autoZero"/>
        <c:auto val="1"/>
        <c:lblAlgn val="ctr"/>
        <c:lblOffset val="100"/>
        <c:noMultiLvlLbl val="0"/>
      </c:catAx>
      <c:valAx>
        <c:axId val="5535582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53557888"/>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98.05</c:v>
                </c:pt>
                <c:pt idx="1">
                  <c:v>97.14</c:v>
                </c:pt>
                <c:pt idx="2">
                  <c:v>96.095294117647072</c:v>
                </c:pt>
                <c:pt idx="3">
                  <c:v>97.51</c:v>
                </c:pt>
              </c:numCache>
            </c:numRef>
          </c:val>
        </c:ser>
        <c:dLbls>
          <c:showLegendKey val="0"/>
          <c:showVal val="0"/>
          <c:showCatName val="0"/>
          <c:showSerName val="0"/>
          <c:showPercent val="0"/>
          <c:showBubbleSize val="0"/>
        </c:dLbls>
        <c:gapWidth val="39"/>
        <c:overlap val="100"/>
        <c:axId val="553559064"/>
        <c:axId val="55355945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97.61</c:v>
                </c:pt>
                <c:pt idx="1">
                  <c:v>97.61</c:v>
                </c:pt>
                <c:pt idx="2">
                  <c:v>97.61</c:v>
                </c:pt>
                <c:pt idx="3">
                  <c:v>97.61</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97.09</c:v>
                </c:pt>
                <c:pt idx="1">
                  <c:v>97.09</c:v>
                </c:pt>
                <c:pt idx="2">
                  <c:v>97.09</c:v>
                </c:pt>
                <c:pt idx="3">
                  <c:v>97.09</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95.31</c:v>
                </c:pt>
                <c:pt idx="1">
                  <c:v>95.31</c:v>
                </c:pt>
                <c:pt idx="2">
                  <c:v>95.31</c:v>
                </c:pt>
                <c:pt idx="3">
                  <c:v>95.31</c:v>
                </c:pt>
              </c:numCache>
            </c:numRef>
          </c:val>
          <c:smooth val="0"/>
        </c:ser>
        <c:dLbls>
          <c:showLegendKey val="0"/>
          <c:showVal val="0"/>
          <c:showCatName val="0"/>
          <c:showSerName val="0"/>
          <c:showPercent val="0"/>
          <c:showBubbleSize val="0"/>
        </c:dLbls>
        <c:marker val="1"/>
        <c:smooth val="0"/>
        <c:axId val="553559064"/>
        <c:axId val="553559456"/>
      </c:lineChart>
      <c:catAx>
        <c:axId val="55355906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53559456"/>
        <c:crosses val="autoZero"/>
        <c:auto val="1"/>
        <c:lblAlgn val="ctr"/>
        <c:lblOffset val="100"/>
        <c:noMultiLvlLbl val="0"/>
      </c:catAx>
      <c:valAx>
        <c:axId val="55355945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5355906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12" sqref="W12:AM12"/>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7" t="str">
        <f>VLOOKUP('Filtered Data'!D1,'Filtered Data'!L1:O6,3,FALSE)</f>
        <v>Unitary</v>
      </c>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row>
    <row r="2" spans="2:40"/>
    <row r="3" spans="2:40" ht="19.5" customHeight="1">
      <c r="B3" s="320" t="str">
        <f>Data!B3</f>
        <v>Council tax and NNDR collection rates</v>
      </c>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row>
    <row r="4" spans="2:40">
      <c r="D4" s="3"/>
      <c r="E4" s="3"/>
    </row>
    <row r="5" spans="2:40" ht="15.75" customHeight="1">
      <c r="B5" s="342" t="s">
        <v>335</v>
      </c>
      <c r="C5" s="342"/>
      <c r="D5" s="342"/>
      <c r="E5" s="342"/>
      <c r="J5" s="345" t="s">
        <v>305</v>
      </c>
      <c r="K5" s="345"/>
      <c r="L5" s="345"/>
      <c r="M5" s="345"/>
      <c r="N5" s="345"/>
      <c r="O5" s="345"/>
      <c r="P5" s="345"/>
      <c r="Q5" s="345"/>
      <c r="R5" s="345"/>
      <c r="S5" s="345"/>
      <c r="W5" s="325" t="s">
        <v>365</v>
      </c>
      <c r="X5" s="326"/>
      <c r="Y5" s="326"/>
      <c r="Z5" s="326"/>
      <c r="AA5" s="326"/>
      <c r="AB5" s="326"/>
      <c r="AC5" s="326"/>
      <c r="AD5" s="326"/>
      <c r="AE5" s="326"/>
      <c r="AF5" s="326"/>
      <c r="AG5" s="326"/>
      <c r="AH5" s="326"/>
      <c r="AI5" s="326"/>
      <c r="AJ5" s="326"/>
      <c r="AK5" s="326"/>
      <c r="AL5" s="326"/>
      <c r="AM5" s="327"/>
    </row>
    <row r="6" spans="2:40" ht="17.25" customHeight="1">
      <c r="J6" s="345"/>
      <c r="K6" s="345"/>
      <c r="L6" s="345"/>
      <c r="M6" s="345"/>
      <c r="N6" s="345"/>
      <c r="O6" s="345"/>
      <c r="P6" s="345"/>
      <c r="Q6" s="345"/>
      <c r="R6" s="345"/>
      <c r="S6" s="345"/>
      <c r="W6" s="328" t="s">
        <v>895</v>
      </c>
      <c r="X6" s="329"/>
      <c r="Y6" s="329"/>
      <c r="Z6" s="329"/>
      <c r="AA6" s="329"/>
      <c r="AB6" s="329"/>
      <c r="AC6" s="329"/>
      <c r="AD6" s="329"/>
      <c r="AE6" s="329"/>
      <c r="AF6" s="329"/>
      <c r="AG6" s="329"/>
      <c r="AH6" s="329"/>
      <c r="AI6" s="329"/>
      <c r="AJ6" s="329"/>
      <c r="AK6" s="329"/>
      <c r="AL6" s="329"/>
      <c r="AM6" s="330"/>
    </row>
    <row r="7" spans="2:40" ht="12.75" customHeight="1">
      <c r="W7" s="328"/>
      <c r="X7" s="329"/>
      <c r="Y7" s="329"/>
      <c r="Z7" s="329"/>
      <c r="AA7" s="329"/>
      <c r="AB7" s="329"/>
      <c r="AC7" s="329"/>
      <c r="AD7" s="329"/>
      <c r="AE7" s="329"/>
      <c r="AF7" s="329"/>
      <c r="AG7" s="329"/>
      <c r="AH7" s="329"/>
      <c r="AI7" s="329"/>
      <c r="AJ7" s="329"/>
      <c r="AK7" s="329"/>
      <c r="AL7" s="329"/>
      <c r="AM7" s="330"/>
    </row>
    <row r="8" spans="2:40" ht="12.75" customHeight="1">
      <c r="B8" s="346" t="str">
        <f>IF('Filtered Data'!D1="L","County:","Type of Authority:")</f>
        <v>Type of Authority:</v>
      </c>
      <c r="C8" s="347"/>
      <c r="D8" s="347"/>
      <c r="E8" s="347"/>
      <c r="F8" s="347"/>
      <c r="G8" s="347"/>
      <c r="H8" s="347"/>
      <c r="I8" s="347"/>
      <c r="J8" s="79" t="str">
        <f>IF('Filtered Data'!D1="L",'Filtered Data'!I3,VLOOKUP('Filtered Data'!D1,'Filtered Data'!L1:O5,3,FALSE))</f>
        <v>Unitary</v>
      </c>
      <c r="K8" s="79"/>
      <c r="L8" s="79"/>
      <c r="M8" s="79"/>
      <c r="N8" s="79"/>
      <c r="O8" s="79"/>
      <c r="P8" s="79"/>
      <c r="Q8" s="79"/>
      <c r="R8" s="79"/>
      <c r="W8" s="328"/>
      <c r="X8" s="329"/>
      <c r="Y8" s="329"/>
      <c r="Z8" s="329"/>
      <c r="AA8" s="329"/>
      <c r="AB8" s="329"/>
      <c r="AC8" s="329"/>
      <c r="AD8" s="329"/>
      <c r="AE8" s="329"/>
      <c r="AF8" s="329"/>
      <c r="AG8" s="329"/>
      <c r="AH8" s="329"/>
      <c r="AI8" s="329"/>
      <c r="AJ8" s="329"/>
      <c r="AK8" s="329"/>
      <c r="AL8" s="329"/>
      <c r="AM8" s="330"/>
    </row>
    <row r="9" spans="2:40" ht="12.75" customHeight="1">
      <c r="B9" s="346" t="str">
        <f>IF('Filtered Data'!D1="L","Rural Classification:","Region:")</f>
        <v>Region:</v>
      </c>
      <c r="C9" s="347"/>
      <c r="D9" s="347"/>
      <c r="E9" s="347"/>
      <c r="F9" s="347"/>
      <c r="G9" s="347"/>
      <c r="H9" s="347"/>
      <c r="I9" s="347"/>
      <c r="J9" s="79" t="str">
        <f>IF('Filtered Data'!D1="L",'Filtered Data'!H3,'Filtered Data'!G3)</f>
        <v>North West</v>
      </c>
      <c r="K9" s="79"/>
      <c r="L9" s="79"/>
      <c r="M9" s="79"/>
      <c r="N9" s="79"/>
      <c r="O9" s="79"/>
      <c r="P9" s="79"/>
      <c r="Q9" s="79"/>
      <c r="R9" s="79"/>
      <c r="W9" s="328"/>
      <c r="X9" s="329"/>
      <c r="Y9" s="329"/>
      <c r="Z9" s="329"/>
      <c r="AA9" s="329"/>
      <c r="AB9" s="329"/>
      <c r="AC9" s="329"/>
      <c r="AD9" s="329"/>
      <c r="AE9" s="329"/>
      <c r="AF9" s="329"/>
      <c r="AG9" s="329"/>
      <c r="AH9" s="329"/>
      <c r="AI9" s="329"/>
      <c r="AJ9" s="329"/>
      <c r="AK9" s="329"/>
      <c r="AL9" s="329"/>
      <c r="AM9" s="330"/>
    </row>
    <row r="10" spans="2:40" ht="12.75" customHeight="1">
      <c r="B10" s="347" t="str">
        <f>IF('Filtered Data'!D1="L","",IF('Filtered Data'!D1="SC","Rural Classification:",IF('Filtered Data'!D1="UA","Rural Classification:","County:")))</f>
        <v>Rural Classification:</v>
      </c>
      <c r="C10" s="347"/>
      <c r="D10" s="347"/>
      <c r="E10" s="347"/>
      <c r="F10" s="347"/>
      <c r="G10" s="347"/>
      <c r="H10" s="347"/>
      <c r="I10" s="347"/>
      <c r="J10" s="284" t="str">
        <f>IF('Filtered Data'!D1="L","",IF('Filtered Data'!D1="MD",'Filtered Data'!I3,IF('Filtered Data'!D1="SD",'Filtered Data'!I3,'Filtered Data'!H3)))</f>
        <v>Rural-50</v>
      </c>
      <c r="K10" s="284"/>
      <c r="L10" s="284"/>
      <c r="M10" s="284"/>
      <c r="N10" s="284"/>
      <c r="O10" s="284"/>
      <c r="P10" s="284"/>
      <c r="Q10" s="284"/>
      <c r="R10" s="284"/>
      <c r="W10" s="328"/>
      <c r="X10" s="329"/>
      <c r="Y10" s="329"/>
      <c r="Z10" s="329"/>
      <c r="AA10" s="329"/>
      <c r="AB10" s="329"/>
      <c r="AC10" s="329"/>
      <c r="AD10" s="329"/>
      <c r="AE10" s="329"/>
      <c r="AF10" s="329"/>
      <c r="AG10" s="329"/>
      <c r="AH10" s="329"/>
      <c r="AI10" s="329"/>
      <c r="AJ10" s="329"/>
      <c r="AK10" s="329"/>
      <c r="AL10" s="329"/>
      <c r="AM10" s="330"/>
    </row>
    <row r="11" spans="2:40" ht="12.75" customHeight="1">
      <c r="B11" s="347" t="str">
        <f>IF('Filtered Data'!D1="L","",IF('Filtered Data'!D1="SC","",IF('Filtered Data'!D1="UA","","Rural Classification:")))</f>
        <v/>
      </c>
      <c r="C11" s="347"/>
      <c r="D11" s="347"/>
      <c r="E11" s="347"/>
      <c r="F11" s="347"/>
      <c r="G11" s="347"/>
      <c r="H11" s="347"/>
      <c r="I11" s="347"/>
      <c r="J11" s="79" t="str">
        <f>IF('Filtered Data'!D1="MD",'Filtered Data'!H3,IF('Filtered Data'!D1="SD",'Filtered Data'!H3,""))</f>
        <v/>
      </c>
      <c r="K11" s="79"/>
      <c r="W11" s="334" t="s">
        <v>369</v>
      </c>
      <c r="X11" s="335"/>
      <c r="Y11" s="335"/>
      <c r="Z11" s="335"/>
      <c r="AA11" s="335"/>
      <c r="AB11" s="335"/>
      <c r="AC11" s="335"/>
      <c r="AD11" s="335"/>
      <c r="AE11" s="335"/>
      <c r="AF11" s="335"/>
      <c r="AG11" s="335"/>
      <c r="AH11" s="335"/>
      <c r="AI11" s="335"/>
      <c r="AJ11" s="335"/>
      <c r="AK11" s="335"/>
      <c r="AL11" s="335"/>
      <c r="AM11" s="336"/>
    </row>
    <row r="12" spans="2:40" ht="12.75" customHeight="1">
      <c r="W12" s="310" t="s">
        <v>898</v>
      </c>
      <c r="X12" s="311"/>
      <c r="Y12" s="311"/>
      <c r="Z12" s="311"/>
      <c r="AA12" s="311"/>
      <c r="AB12" s="311"/>
      <c r="AC12" s="311"/>
      <c r="AD12" s="311"/>
      <c r="AE12" s="311"/>
      <c r="AF12" s="311"/>
      <c r="AG12" s="311"/>
      <c r="AH12" s="311"/>
      <c r="AI12" s="311"/>
      <c r="AJ12" s="311"/>
      <c r="AK12" s="311"/>
      <c r="AL12" s="311"/>
      <c r="AM12" s="312"/>
    </row>
    <row r="13" spans="2:40" ht="12.75" customHeight="1">
      <c r="B13" s="25"/>
      <c r="C13" s="25"/>
      <c r="D13" s="25"/>
      <c r="E13" s="25"/>
      <c r="F13" s="25"/>
      <c r="G13" s="25"/>
      <c r="H13" s="25"/>
      <c r="I13" s="25"/>
      <c r="J13" s="3"/>
      <c r="K13" s="3"/>
      <c r="L13" s="3"/>
      <c r="M13" s="3"/>
      <c r="N13" s="3"/>
      <c r="O13" s="3"/>
      <c r="P13" s="3"/>
      <c r="Q13" s="3"/>
      <c r="R13" s="3"/>
      <c r="W13" s="348" t="s">
        <v>370</v>
      </c>
      <c r="X13" s="349"/>
      <c r="Y13" s="349"/>
      <c r="Z13" s="349"/>
      <c r="AA13" s="349"/>
      <c r="AB13" s="349"/>
      <c r="AC13" s="349"/>
      <c r="AD13" s="349"/>
      <c r="AE13" s="349"/>
      <c r="AF13" s="349"/>
      <c r="AG13" s="349"/>
      <c r="AH13" s="349"/>
      <c r="AI13" s="349"/>
      <c r="AJ13" s="349"/>
      <c r="AK13" s="349"/>
      <c r="AL13" s="349"/>
      <c r="AM13" s="350"/>
    </row>
    <row r="14" spans="2:40" ht="25.5" customHeight="1">
      <c r="B14" s="25"/>
      <c r="C14" s="25"/>
      <c r="D14" s="25"/>
      <c r="E14" s="25"/>
      <c r="F14" s="25"/>
      <c r="G14" s="25"/>
      <c r="H14" s="25"/>
      <c r="I14" s="25"/>
      <c r="J14" s="3"/>
      <c r="K14" s="3"/>
      <c r="L14" s="3"/>
      <c r="M14" s="3"/>
      <c r="N14" s="3"/>
      <c r="O14" s="3"/>
      <c r="P14" s="3"/>
      <c r="Q14" s="3"/>
      <c r="R14" s="3"/>
      <c r="W14" s="331" t="str">
        <f>HLOOKUP(W6,Data!4:6,3,FALSE)</f>
        <v>www.gov.uk</v>
      </c>
      <c r="X14" s="332"/>
      <c r="Y14" s="332"/>
      <c r="Z14" s="332"/>
      <c r="AA14" s="332"/>
      <c r="AB14" s="332"/>
      <c r="AC14" s="332"/>
      <c r="AD14" s="332"/>
      <c r="AE14" s="332"/>
      <c r="AF14" s="332"/>
      <c r="AG14" s="332"/>
      <c r="AH14" s="332"/>
      <c r="AI14" s="332"/>
      <c r="AJ14" s="332"/>
      <c r="AK14" s="332"/>
      <c r="AL14" s="332"/>
      <c r="AM14" s="333"/>
    </row>
    <row r="15" spans="2:40"/>
    <row r="16" spans="2:40">
      <c r="B16" s="290" t="str">
        <f>W6&amp;" - "&amp;W12</f>
        <v>Council tax collected by 31 March as a % of amount collectable - 2013-14</v>
      </c>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339"/>
    </row>
    <row r="17" spans="2:42">
      <c r="B17" s="292"/>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34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3" t="s">
        <v>344</v>
      </c>
      <c r="F32" s="344"/>
      <c r="G32" s="344"/>
      <c r="H32" s="344"/>
      <c r="I32" s="344"/>
      <c r="J32" s="344"/>
      <c r="K32" s="322">
        <f>IF('Filtered Data'!$H$8="..",'Filtered Data'!O10,'Filtered Data'!O10/100)</f>
        <v>0.97609999999999997</v>
      </c>
      <c r="L32" s="322"/>
      <c r="M32" s="322"/>
      <c r="N32" s="321" t="s">
        <v>355</v>
      </c>
      <c r="O32" s="321"/>
      <c r="P32" s="321"/>
      <c r="Q32" s="321"/>
      <c r="R32" s="321"/>
      <c r="S32" s="321"/>
      <c r="T32" s="322">
        <f>IF('Filtered Data'!$H$8="..",'Filtered Data'!P10,'Filtered Data'!P10/100)</f>
        <v>0.97089999999999999</v>
      </c>
      <c r="U32" s="322"/>
      <c r="V32" s="322"/>
      <c r="W32" s="322"/>
      <c r="X32" s="341" t="s">
        <v>356</v>
      </c>
      <c r="Y32" s="341"/>
      <c r="Z32" s="341"/>
      <c r="AA32" s="341"/>
      <c r="AB32" s="341"/>
      <c r="AC32" s="322">
        <f>IF('Filtered Data'!$H$8="..",'Filtered Data'!Q10,'Filtered Data'!Q10/100)</f>
        <v>0.95310000000000006</v>
      </c>
      <c r="AD32" s="322"/>
      <c r="AE32" s="322"/>
      <c r="AF32" s="316" t="s">
        <v>345</v>
      </c>
      <c r="AG32" s="316"/>
      <c r="AH32" s="316"/>
      <c r="AI32" s="316"/>
      <c r="AJ32" s="316"/>
      <c r="AK32" s="316"/>
      <c r="AL32" s="316"/>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359</v>
      </c>
      <c r="L35" s="338">
        <f>IF(ISERROR(IF('Filtered Data'!$H$8="%.",(VLOOKUP(J5,'Filtered Data'!C:H,4,FALSE))/100,(VLOOKUP(J5,'Filtered Data'!C:H,4,FALSE)))),"",(IF('Filtered Data'!$H$8="%.",(VLOOKUP(J5,'Filtered Data'!C:H,4,FALSE))/100,(VLOOKUP(J5,'Filtered Data'!C:H,4,FALSE)))))</f>
        <v>0.98049999999999993</v>
      </c>
      <c r="M35" s="338"/>
      <c r="N35" s="338"/>
      <c r="O35" s="338"/>
      <c r="P35" s="135"/>
      <c r="Q35" s="338" t="s">
        <v>357</v>
      </c>
      <c r="R35" s="338"/>
      <c r="S35" s="338"/>
      <c r="T35" s="338"/>
      <c r="U35" s="338"/>
      <c r="V35" s="338"/>
      <c r="W35" s="338"/>
      <c r="AP35" s="85"/>
    </row>
    <row r="36" spans="2:16384" ht="12.75" customHeight="1">
      <c r="B36" s="337" t="str">
        <f>'Filtered Data'!R8&amp;" Quartile"</f>
        <v>Top Quartile</v>
      </c>
      <c r="C36" s="337"/>
      <c r="D36" s="337"/>
      <c r="E36" s="337"/>
      <c r="F36" s="337"/>
      <c r="G36" s="337"/>
      <c r="H36" s="337"/>
      <c r="I36" s="337"/>
      <c r="J36" s="337"/>
      <c r="K36" s="337"/>
      <c r="L36" s="337"/>
      <c r="M36" s="337"/>
      <c r="N36" s="337"/>
      <c r="O36" s="337"/>
      <c r="P36" s="337"/>
      <c r="Q36" s="337"/>
      <c r="R36" s="337"/>
      <c r="S36" s="337"/>
      <c r="T36" s="337"/>
      <c r="U36" s="337"/>
      <c r="V36" s="337"/>
      <c r="W36" s="337"/>
      <c r="Z36" s="21" t="s">
        <v>361</v>
      </c>
      <c r="AB36" s="315" t="s">
        <v>363</v>
      </c>
      <c r="AC36" s="315"/>
      <c r="AD36" s="315"/>
      <c r="AE36" s="315"/>
      <c r="AF36" s="315"/>
      <c r="AG36" s="315"/>
      <c r="AH36" s="315"/>
      <c r="AI36" s="315"/>
      <c r="AJ36" s="315"/>
      <c r="AK36" s="315"/>
      <c r="AL36" s="315"/>
      <c r="AM36" s="154"/>
      <c r="AP36" s="85"/>
    </row>
    <row r="37" spans="2:16384" ht="12.75" customHeight="1">
      <c r="B37" s="136" t="str">
        <f>VLOOKUP('Filtered Data'!D1,'Filtered Data'!L1:O6,2,FALSE)</f>
        <v>Unitaries</v>
      </c>
      <c r="C37" s="136"/>
      <c r="D37" s="136"/>
      <c r="E37" s="136"/>
      <c r="F37" s="136"/>
      <c r="G37" s="136"/>
      <c r="H37" s="136"/>
      <c r="I37" s="136"/>
      <c r="J37" s="313" t="s">
        <v>807</v>
      </c>
      <c r="K37" s="137" t="str">
        <f>IF(Q37="","",IF('Filtered Data'!I8="D",IF($L$35&gt;=L37,"J","L"),IF('Filtered Data'!I8="A",IF($L$35&lt;=L37,"J","L"))))</f>
        <v>J</v>
      </c>
      <c r="L37" s="318">
        <f>'Filtered Data'!M9</f>
        <v>0.96527818181818204</v>
      </c>
      <c r="M37" s="318"/>
      <c r="N37" s="318"/>
      <c r="O37" s="318"/>
      <c r="P37" s="138"/>
      <c r="Q37" s="308">
        <f>VLOOKUP(J5,'Filtered Data'!C:I,7,FALSE)</f>
        <v>10</v>
      </c>
      <c r="R37" s="308"/>
      <c r="S37" s="139"/>
      <c r="T37" s="140" t="s">
        <v>358</v>
      </c>
      <c r="U37" s="141"/>
      <c r="V37" s="308">
        <f>COUNT('Filtered Data'!I11:I363)</f>
        <v>55</v>
      </c>
      <c r="W37" s="308"/>
      <c r="AB37" s="315"/>
      <c r="AC37" s="315"/>
      <c r="AD37" s="315"/>
      <c r="AE37" s="315"/>
      <c r="AF37" s="315"/>
      <c r="AG37" s="315"/>
      <c r="AH37" s="315"/>
      <c r="AI37" s="315"/>
      <c r="AJ37" s="315"/>
      <c r="AK37" s="315"/>
      <c r="AL37" s="315"/>
      <c r="AM37" s="154"/>
      <c r="AP37" s="85"/>
    </row>
    <row r="38" spans="2:16384">
      <c r="B38" s="136" t="str">
        <f>IF('Filtered Data'!D1="L","Family",IF('Filtered Data'!D1="SD",VLOOKUP(J5,classifications!C:J,6,FALSE),"Rural"))</f>
        <v>Rural</v>
      </c>
      <c r="C38" s="136"/>
      <c r="D38" s="136"/>
      <c r="E38" s="136"/>
      <c r="F38" s="136"/>
      <c r="G38" s="136"/>
      <c r="H38" s="136"/>
      <c r="I38" s="136"/>
      <c r="J38" s="314"/>
      <c r="K38" s="137" t="str">
        <f>IF(Q38="","",IF('Filtered Data'!I8="D",IF($L$35&gt;=L38,"J","L"),IF('Filtered Data'!I8="A",IF($L$35&lt;=L38,"J","L"))))</f>
        <v>J</v>
      </c>
      <c r="L38" s="318">
        <f>IF('Filtered Data'!D1="L",'Filtered Data'!AG9,'Filtered Data'!Y9)</f>
        <v>0.97581666666666667</v>
      </c>
      <c r="M38" s="318"/>
      <c r="N38" s="318"/>
      <c r="O38" s="318"/>
      <c r="P38" s="138"/>
      <c r="Q38" s="324">
        <f>IF(ISERROR(IF('Filtered Data'!D1="L",VLOOKUP(J5,'Filtered Data'!AF11:AH26,3,FALSE),VLOOKUP(J5,'Filtered Data'!$L$11:$Z$363,15,FALSE))),"",(IF('Filtered Data'!D1="L",VLOOKUP(J5,'Filtered Data'!AF11:AH26,3,FALSE),VLOOKUP(J5,'Filtered Data'!$L$11:$Z$363,15,FALSE))))</f>
        <v>6</v>
      </c>
      <c r="R38" s="324"/>
      <c r="S38" s="317" t="s">
        <v>358</v>
      </c>
      <c r="T38" s="318"/>
      <c r="U38" s="318"/>
      <c r="V38" s="308">
        <f>IF('Filtered Data'!D1="L",16,COUNT('Filtered Data'!Z:Z))</f>
        <v>18</v>
      </c>
      <c r="W38" s="30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4"/>
      <c r="K39" s="137" t="str">
        <f>IF(Q39="","",IF('Filtered Data'!I8="D",IF($L$35&gt;=L39,"J","L"),IF('Filtered Data'!I8="A",IF($L$35&lt;=L39,"J","L"))))</f>
        <v>J</v>
      </c>
      <c r="L39" s="318">
        <f>IF('Filtered Data'!D1="L","",'Filtered Data'!AG9)</f>
        <v>0.97796249999999996</v>
      </c>
      <c r="M39" s="318"/>
      <c r="N39" s="318"/>
      <c r="O39" s="318"/>
      <c r="P39" s="138"/>
      <c r="Q39" s="308">
        <f>IF(ISERROR(IF('Filtered Data'!D1="L","",'Filtered Data'!AH11)),"",(IF('Filtered Data'!D1="L","",'Filtered Data'!AH11)))</f>
        <v>6</v>
      </c>
      <c r="R39" s="308"/>
      <c r="S39" s="139"/>
      <c r="T39" s="141" t="str">
        <f>IF(B39="","","out of")</f>
        <v>out of</v>
      </c>
      <c r="U39" s="141"/>
      <c r="V39" s="308">
        <f>IF('Filtered Data'!D1="L","",16)</f>
        <v>16</v>
      </c>
      <c r="W39" s="308"/>
      <c r="Z39" s="13" t="s">
        <v>362</v>
      </c>
      <c r="AB39" s="315" t="s">
        <v>364</v>
      </c>
      <c r="AC39" s="315"/>
      <c r="AD39" s="315"/>
      <c r="AE39" s="315"/>
      <c r="AF39" s="315"/>
      <c r="AG39" s="315"/>
      <c r="AH39" s="315"/>
      <c r="AI39" s="315"/>
      <c r="AJ39" s="315"/>
      <c r="AK39" s="315"/>
      <c r="AL39" s="315"/>
      <c r="AM39" s="315"/>
      <c r="AP39" s="85"/>
    </row>
    <row r="40" spans="2:16384" ht="12.75" customHeight="1">
      <c r="B40" s="136" t="str">
        <f>IF('Filtered Data'!D1="L","",IF('Filtered Data'!D1="SD",J10,"Regional"))</f>
        <v>Regional</v>
      </c>
      <c r="C40" s="136"/>
      <c r="D40" s="136"/>
      <c r="E40" s="136"/>
      <c r="F40" s="136"/>
      <c r="G40" s="136"/>
      <c r="H40" s="136"/>
      <c r="I40" s="136"/>
      <c r="J40" s="314"/>
      <c r="K40" s="137" t="str">
        <f>IF(Q40="","",IF('Filtered Data'!I8="D",IF($L$35&gt;=L40,"J","L"),IF('Filtered Data'!I8="A",IF($L$35&lt;=L40,"J","L"))))</f>
        <v>J</v>
      </c>
      <c r="L40" s="318">
        <f>IF('Filtered Data'!D1="L","",IF('Filtered Data'!D1="SD",'Filtered Data'!AJ9,'Filtered Data'!AQ9))</f>
        <v>0.96225000000000005</v>
      </c>
      <c r="M40" s="318"/>
      <c r="N40" s="318"/>
      <c r="O40" s="318"/>
      <c r="P40" s="138"/>
      <c r="Q40" s="308">
        <f>IF(ISERROR(IF('Filtered Data'!D1="L","",IF('Filtered Data'!D1="SD",VLOOKUP(J5,'Filtered Data'!L:AK,26,FALSE),(VLOOKUP(J5,'Filtered Data'!L:AR,33,FALSE))))),"",(IF('Filtered Data'!D1="L","",IF('Filtered Data'!D1="SD",VLOOKUP(J5,'Filtered Data'!L:AK,26,FALSE),(VLOOKUP(J5,'Filtered Data'!L:AR,33,FALSE))))))</f>
        <v>1</v>
      </c>
      <c r="R40" s="308"/>
      <c r="S40" s="318" t="str">
        <f>IF(B40="","","out of")</f>
        <v>out of</v>
      </c>
      <c r="T40" s="317"/>
      <c r="U40" s="317"/>
      <c r="V40" s="308">
        <f>IF('Filtered Data'!D1="L","",IF('Filtered Data'!D1="SD",COUNT('Filtered Data'!AK11:AK363),(COUNT('Filtered Data'!AQ11:AQ363))))</f>
        <v>6</v>
      </c>
      <c r="W40" s="308"/>
      <c r="AB40" s="315"/>
      <c r="AC40" s="315"/>
      <c r="AD40" s="315"/>
      <c r="AE40" s="315"/>
      <c r="AF40" s="315"/>
      <c r="AG40" s="315"/>
      <c r="AH40" s="315"/>
      <c r="AI40" s="315"/>
      <c r="AJ40" s="315"/>
      <c r="AK40" s="315"/>
      <c r="AL40" s="315"/>
      <c r="AM40" s="315"/>
      <c r="AP40" s="85"/>
    </row>
    <row r="41" spans="2:16384">
      <c r="B41" s="150"/>
      <c r="C41" s="150"/>
      <c r="D41" s="150"/>
      <c r="E41" s="150"/>
      <c r="F41" s="150"/>
      <c r="G41" s="150"/>
      <c r="H41" s="150"/>
      <c r="I41" s="150"/>
      <c r="J41" s="149"/>
      <c r="K41" s="151" t="str">
        <f>IF(B41="","",IF('Filtered Data'!D1="UA","",(IF($L$35&gt;=L41,"J","L"))))</f>
        <v/>
      </c>
      <c r="L41" s="309"/>
      <c r="M41" s="309"/>
      <c r="N41" s="309"/>
      <c r="O41" s="309"/>
      <c r="P41" s="152"/>
      <c r="Q41" s="319"/>
      <c r="R41" s="319"/>
      <c r="S41" s="323"/>
      <c r="T41" s="323"/>
      <c r="U41" s="323"/>
      <c r="V41" s="319"/>
      <c r="W41" s="319"/>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3" t="s">
        <v>360</v>
      </c>
      <c r="C43" s="304"/>
      <c r="D43" s="304"/>
      <c r="E43" s="304"/>
      <c r="F43" s="304"/>
      <c r="G43" s="304"/>
      <c r="H43" s="304"/>
      <c r="I43" s="304"/>
      <c r="J43" s="304"/>
      <c r="K43" s="304"/>
      <c r="L43" s="304"/>
      <c r="M43" s="304"/>
      <c r="N43" s="304"/>
      <c r="O43" s="299" t="str">
        <f>W6&amp;" - "&amp;W12</f>
        <v>Council tax collected by 31 March as a % of amount collectable - 2013-14</v>
      </c>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300"/>
      <c r="AP43" s="85"/>
    </row>
    <row r="44" spans="2:16384">
      <c r="B44" s="305"/>
      <c r="C44" s="306"/>
      <c r="D44" s="306"/>
      <c r="E44" s="306"/>
      <c r="F44" s="306"/>
      <c r="G44" s="306"/>
      <c r="H44" s="306"/>
      <c r="I44" s="306"/>
      <c r="J44" s="306"/>
      <c r="K44" s="306"/>
      <c r="L44" s="306"/>
      <c r="M44" s="306"/>
      <c r="N44" s="306"/>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2"/>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286">
        <f>IF('Filtered Data'!$H$8="..",L35,L35*100)</f>
        <v>98.05</v>
      </c>
      <c r="F48" s="286"/>
      <c r="G48" s="286"/>
      <c r="H48" s="286"/>
      <c r="I48" s="6"/>
      <c r="J48" s="6"/>
      <c r="K48" s="285">
        <f>IF('Filtered Data'!$H$8="..",K$32,K$32*100)</f>
        <v>97.61</v>
      </c>
      <c r="L48" s="285"/>
      <c r="M48" s="285">
        <f>IF('Filtered Data'!$H$8="..",T$32,T$32*100)</f>
        <v>97.09</v>
      </c>
      <c r="N48" s="285"/>
      <c r="O48" s="285">
        <f>IF('Filtered Data'!$H$8="..",AC$32,AC$32*100)</f>
        <v>95.31</v>
      </c>
      <c r="P48" s="285"/>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286">
        <f>IF('Filtered Data'!$H$8="..",L37,L37*100)</f>
        <v>96.527818181818205</v>
      </c>
      <c r="F49" s="286"/>
      <c r="G49" s="286"/>
      <c r="H49" s="286"/>
      <c r="I49" s="6"/>
      <c r="J49" s="6"/>
      <c r="K49" s="285">
        <f>IF('Filtered Data'!$H$8="..",K$32,K$32*100)</f>
        <v>97.61</v>
      </c>
      <c r="L49" s="285"/>
      <c r="M49" s="285">
        <f>IF('Filtered Data'!$H$8="..",T$32,T$32*100)</f>
        <v>97.09</v>
      </c>
      <c r="N49" s="285"/>
      <c r="O49" s="285">
        <f>IF('Filtered Data'!$H$8="..",AC$32,AC$32*100)</f>
        <v>95.31</v>
      </c>
      <c r="P49" s="285"/>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6">
        <f>IF('Filtered Data'!$H$8="..",L39,L39*100)</f>
        <v>97.796250000000001</v>
      </c>
      <c r="F50" s="286"/>
      <c r="G50" s="286"/>
      <c r="H50" s="286"/>
      <c r="I50" s="6"/>
      <c r="J50" s="6"/>
      <c r="K50" s="285">
        <f>IF('Filtered Data'!$H$8="..",K$32,K$32*100)</f>
        <v>97.61</v>
      </c>
      <c r="L50" s="285"/>
      <c r="M50" s="285">
        <f>IF('Filtered Data'!$H$8="..",T$32,T$32*100)</f>
        <v>97.09</v>
      </c>
      <c r="N50" s="285"/>
      <c r="O50" s="285">
        <f>IF('Filtered Data'!$H$8="..",AC$32,AC$32*100)</f>
        <v>95.31</v>
      </c>
      <c r="P50" s="285"/>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286">
        <f>IF('Filtered Data'!$H$8="..",L40,L40*100)</f>
        <v>96.225000000000009</v>
      </c>
      <c r="F51" s="286"/>
      <c r="G51" s="286"/>
      <c r="H51" s="286"/>
      <c r="I51" s="6"/>
      <c r="J51" s="6"/>
      <c r="K51" s="285">
        <f>IF('Filtered Data'!$H$8="..",K$32,K$32*100)</f>
        <v>97.61</v>
      </c>
      <c r="L51" s="285"/>
      <c r="M51" s="285">
        <f>IF('Filtered Data'!$H$8="..",T$32,T$32*100)</f>
        <v>97.09</v>
      </c>
      <c r="N51" s="285"/>
      <c r="O51" s="285">
        <f>IF('Filtered Data'!$H$8="..",AC$32,AC$32*100)</f>
        <v>95.31</v>
      </c>
      <c r="P51" s="285"/>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286">
        <f>IF('Filtered Data'!$H$8="..",L38,L38*100)</f>
        <v>97.581666666666663</v>
      </c>
      <c r="F52" s="286"/>
      <c r="G52" s="286"/>
      <c r="H52" s="286"/>
      <c r="I52" s="6"/>
      <c r="J52" s="6"/>
      <c r="K52" s="285">
        <f>IF('Filtered Data'!$H$8="..",K$32,K$32*100)</f>
        <v>97.61</v>
      </c>
      <c r="L52" s="285"/>
      <c r="M52" s="285">
        <f>IF('Filtered Data'!$H$8="..",T$32,T$32*100)</f>
        <v>97.09</v>
      </c>
      <c r="N52" s="285"/>
      <c r="O52" s="285">
        <f>IF('Filtered Data'!$H$8="..",AC$32,AC$32*100)</f>
        <v>95.31</v>
      </c>
      <c r="P52" s="285"/>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7"/>
      <c r="F53" s="287"/>
      <c r="G53" s="287"/>
      <c r="H53" s="287"/>
      <c r="I53" s="6"/>
      <c r="J53" s="6"/>
      <c r="K53" s="285"/>
      <c r="L53" s="285"/>
      <c r="M53" s="285"/>
      <c r="N53" s="285"/>
      <c r="O53" s="285"/>
      <c r="P53" s="285"/>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6" t="str">
        <f>B3</f>
        <v>Council tax and NNDR collection rates</v>
      </c>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P59" s="85"/>
    </row>
    <row r="60" spans="2:42">
      <c r="AP60" s="85"/>
    </row>
    <row r="61" spans="2:42" ht="12" customHeight="1">
      <c r="B61" s="1" t="str">
        <f>W6&amp;" - "&amp;W12</f>
        <v>Council tax collected by 31 March as a % of amount collectable - 2013-14</v>
      </c>
      <c r="AP61" s="85"/>
    </row>
    <row r="62" spans="2:42" ht="12" customHeight="1">
      <c r="AP62" s="85"/>
    </row>
    <row r="63" spans="2:42" ht="12" customHeight="1">
      <c r="B63" s="1" t="s">
        <v>366</v>
      </c>
      <c r="AP63" s="85"/>
    </row>
    <row r="64" spans="2:42" ht="12" customHeight="1">
      <c r="AP64" s="85"/>
    </row>
    <row r="65" spans="2:42" ht="12" customHeight="1">
      <c r="B65" s="283" t="s">
        <v>357</v>
      </c>
      <c r="C65" s="283"/>
      <c r="D65" s="283"/>
      <c r="E65" s="288" t="s">
        <v>334</v>
      </c>
      <c r="F65" s="288"/>
      <c r="G65" s="288"/>
      <c r="H65" s="288"/>
      <c r="I65" s="288"/>
      <c r="J65" s="288"/>
      <c r="K65" s="288"/>
      <c r="L65" s="288"/>
      <c r="M65" s="288"/>
      <c r="N65" s="288"/>
      <c r="O65" s="288"/>
      <c r="P65" s="288"/>
      <c r="Q65" s="288"/>
      <c r="R65" s="288"/>
      <c r="S65" s="288"/>
      <c r="T65" s="288"/>
      <c r="U65" s="283" t="s">
        <v>368</v>
      </c>
      <c r="V65" s="283"/>
      <c r="W65" s="283"/>
      <c r="X65" s="283"/>
      <c r="Y65" s="24"/>
      <c r="Z65" s="24"/>
      <c r="AA65" s="24"/>
      <c r="AB65" s="24"/>
      <c r="AC65" s="23"/>
      <c r="AD65" s="24"/>
      <c r="AE65" s="24"/>
      <c r="AF65" s="24"/>
      <c r="AG65" s="24"/>
      <c r="AH65" s="11"/>
      <c r="AI65" s="24"/>
      <c r="AJ65" s="24"/>
      <c r="AK65" s="24"/>
      <c r="AL65" s="24"/>
      <c r="AP65" s="85"/>
    </row>
    <row r="66" spans="2:42" ht="12" customHeight="1">
      <c r="B66" s="280">
        <v>1</v>
      </c>
      <c r="C66" s="281"/>
      <c r="D66" s="281"/>
      <c r="E66" s="284" t="str">
        <f>VLOOKUP(B66,'Filtered Data'!K:L,2,FALSE)</f>
        <v>Wokingham</v>
      </c>
      <c r="F66" s="284"/>
      <c r="G66" s="284"/>
      <c r="H66" s="284"/>
      <c r="I66" s="284"/>
      <c r="J66" s="284"/>
      <c r="K66" s="284"/>
      <c r="L66" s="284"/>
      <c r="M66" s="284"/>
      <c r="N66" s="284"/>
      <c r="O66" s="284"/>
      <c r="P66" s="284"/>
      <c r="Q66" s="284"/>
      <c r="R66" s="284"/>
      <c r="S66" s="284"/>
      <c r="T66" s="284"/>
      <c r="U66" s="307">
        <f>IF('Filtered Data'!$H$8="%.",(VLOOKUP(B66,'Filtered Data'!K:M,3,FALSE))/100,VLOOKUP(B66,'Filtered Data'!K:M,3,FALSE))</f>
        <v>0.99290000000000012</v>
      </c>
      <c r="V66" s="307"/>
      <c r="W66" s="307"/>
      <c r="X66" s="307"/>
      <c r="Y66" s="184" t="str">
        <f>IF((VLOOKUP(E66,classifications!C:K,9,FALSE))="Sparse","S","")</f>
        <v/>
      </c>
      <c r="Z66" s="184"/>
      <c r="AA66" s="184"/>
      <c r="AB66" s="184"/>
      <c r="AC66" s="184"/>
      <c r="AD66" s="298"/>
      <c r="AE66" s="298"/>
      <c r="AF66" s="298"/>
      <c r="AG66" s="298"/>
      <c r="AH66" s="298"/>
      <c r="AI66" s="298"/>
      <c r="AJ66" s="298"/>
      <c r="AK66" s="298"/>
      <c r="AL66" s="298"/>
      <c r="AP66" s="85"/>
    </row>
    <row r="67" spans="2:42" ht="12" customHeight="1">
      <c r="B67" s="280">
        <v>2</v>
      </c>
      <c r="C67" s="281"/>
      <c r="D67" s="281"/>
      <c r="E67" s="284" t="str">
        <f>VLOOKUP(B67,'Filtered Data'!K:L,2,FALSE)</f>
        <v>Rutland</v>
      </c>
      <c r="F67" s="284"/>
      <c r="G67" s="284"/>
      <c r="H67" s="284"/>
      <c r="I67" s="284"/>
      <c r="J67" s="284"/>
      <c r="K67" s="284"/>
      <c r="L67" s="284"/>
      <c r="M67" s="284"/>
      <c r="N67" s="284"/>
      <c r="O67" s="284"/>
      <c r="P67" s="284"/>
      <c r="Q67" s="284"/>
      <c r="R67" s="284"/>
      <c r="S67" s="284"/>
      <c r="T67" s="284"/>
      <c r="U67" s="307">
        <f>IF('Filtered Data'!$H$8="%.",(VLOOKUP(B67,'Filtered Data'!K:M,3,FALSE))/100,VLOOKUP(B67,'Filtered Data'!K:M,3,FALSE))</f>
        <v>0.98849999999999993</v>
      </c>
      <c r="V67" s="307"/>
      <c r="W67" s="307"/>
      <c r="X67" s="307"/>
      <c r="Y67" s="184" t="str">
        <f>IF((VLOOKUP(E67,classifications!C:K,9,FALSE))="Sparse","S","")</f>
        <v>S</v>
      </c>
      <c r="Z67" s="184"/>
      <c r="AA67" s="184"/>
      <c r="AB67" s="184"/>
      <c r="AC67" s="184"/>
      <c r="AD67" s="298"/>
      <c r="AE67" s="298"/>
      <c r="AF67" s="298"/>
      <c r="AG67" s="298"/>
      <c r="AH67" s="298"/>
      <c r="AI67" s="298"/>
      <c r="AJ67" s="298"/>
      <c r="AK67" s="298"/>
      <c r="AL67" s="298"/>
      <c r="AP67" s="85"/>
    </row>
    <row r="68" spans="2:42" ht="12" customHeight="1">
      <c r="B68" s="280">
        <v>3</v>
      </c>
      <c r="C68" s="281"/>
      <c r="D68" s="281"/>
      <c r="E68" s="284" t="str">
        <f>VLOOKUP(B68,'Filtered Data'!K:L,2,FALSE)</f>
        <v>Bath &amp; North East Somerset</v>
      </c>
      <c r="F68" s="284"/>
      <c r="G68" s="284"/>
      <c r="H68" s="284"/>
      <c r="I68" s="284"/>
      <c r="J68" s="284"/>
      <c r="K68" s="284"/>
      <c r="L68" s="284"/>
      <c r="M68" s="284"/>
      <c r="N68" s="284"/>
      <c r="O68" s="284"/>
      <c r="P68" s="284"/>
      <c r="Q68" s="284"/>
      <c r="R68" s="284"/>
      <c r="S68" s="284"/>
      <c r="T68" s="284"/>
      <c r="U68" s="307">
        <f>IF('Filtered Data'!$H$8="%.",(VLOOKUP(B68,'Filtered Data'!K:M,3,FALSE))/100,VLOOKUP(B68,'Filtered Data'!K:M,3,FALSE))</f>
        <v>0.98780000000000001</v>
      </c>
      <c r="V68" s="307"/>
      <c r="W68" s="307"/>
      <c r="X68" s="307"/>
      <c r="Y68" s="184" t="str">
        <f>IF((VLOOKUP(E68,classifications!C:K,9,FALSE))="Sparse","S","")</f>
        <v/>
      </c>
      <c r="Z68" s="184"/>
      <c r="AA68" s="184"/>
      <c r="AB68" s="184"/>
      <c r="AC68" s="184"/>
      <c r="AD68" s="298"/>
      <c r="AE68" s="298"/>
      <c r="AF68" s="298"/>
      <c r="AG68" s="298"/>
      <c r="AH68" s="298"/>
      <c r="AI68" s="298"/>
      <c r="AJ68" s="298"/>
      <c r="AK68" s="298"/>
      <c r="AL68" s="298"/>
      <c r="AP68" s="85"/>
    </row>
    <row r="69" spans="2:42" ht="12" customHeight="1">
      <c r="B69" s="280">
        <v>4</v>
      </c>
      <c r="C69" s="281"/>
      <c r="D69" s="281"/>
      <c r="E69" s="284" t="str">
        <f>VLOOKUP(B69,'Filtered Data'!K:L,2,FALSE)</f>
        <v>Thurrock</v>
      </c>
      <c r="F69" s="284"/>
      <c r="G69" s="284"/>
      <c r="H69" s="284"/>
      <c r="I69" s="284"/>
      <c r="J69" s="284"/>
      <c r="K69" s="284"/>
      <c r="L69" s="284"/>
      <c r="M69" s="284"/>
      <c r="N69" s="284"/>
      <c r="O69" s="284"/>
      <c r="P69" s="284"/>
      <c r="Q69" s="284"/>
      <c r="R69" s="284"/>
      <c r="S69" s="284"/>
      <c r="T69" s="284"/>
      <c r="U69" s="307">
        <f>IF('Filtered Data'!$H$8="%.",(VLOOKUP(B69,'Filtered Data'!K:M,3,FALSE))/100,VLOOKUP(B69,'Filtered Data'!K:M,3,FALSE))</f>
        <v>0.98540000000000005</v>
      </c>
      <c r="V69" s="307"/>
      <c r="W69" s="307"/>
      <c r="X69" s="307"/>
      <c r="Y69" s="184" t="str">
        <f>IF((VLOOKUP(E69,classifications!C:K,9,FALSE))="Sparse","S","")</f>
        <v/>
      </c>
      <c r="Z69" s="184"/>
      <c r="AA69" s="184"/>
      <c r="AB69" s="184"/>
      <c r="AC69" s="184"/>
      <c r="AD69" s="298"/>
      <c r="AE69" s="298"/>
      <c r="AF69" s="298"/>
      <c r="AG69" s="298"/>
      <c r="AH69" s="298"/>
      <c r="AI69" s="298"/>
      <c r="AJ69" s="298"/>
      <c r="AK69" s="298"/>
      <c r="AL69" s="298"/>
      <c r="AP69" s="85"/>
    </row>
    <row r="70" spans="2:42" ht="12" customHeight="1">
      <c r="B70" s="280">
        <v>5</v>
      </c>
      <c r="C70" s="281"/>
      <c r="D70" s="281"/>
      <c r="E70" s="284" t="str">
        <f>VLOOKUP(B70,'Filtered Data'!K:L,2,FALSE)</f>
        <v>Herefordshire</v>
      </c>
      <c r="F70" s="284"/>
      <c r="G70" s="284"/>
      <c r="H70" s="284"/>
      <c r="I70" s="284"/>
      <c r="J70" s="284"/>
      <c r="K70" s="284"/>
      <c r="L70" s="284"/>
      <c r="M70" s="284"/>
      <c r="N70" s="284"/>
      <c r="O70" s="284"/>
      <c r="P70" s="284"/>
      <c r="Q70" s="284"/>
      <c r="R70" s="284"/>
      <c r="S70" s="284"/>
      <c r="T70" s="284"/>
      <c r="U70" s="307">
        <f>IF('Filtered Data'!$H$8="%.",(VLOOKUP(B70,'Filtered Data'!K:M,3,FALSE))/100,VLOOKUP(B70,'Filtered Data'!K:M,3,FALSE))</f>
        <v>0.9840000000000001</v>
      </c>
      <c r="V70" s="307"/>
      <c r="W70" s="307"/>
      <c r="X70" s="307"/>
      <c r="Y70" s="184" t="str">
        <f>IF((VLOOKUP(E70,classifications!C:K,9,FALSE))="Sparse","S","")</f>
        <v>S</v>
      </c>
      <c r="Z70" s="184"/>
      <c r="AA70" s="184"/>
      <c r="AB70" s="184"/>
      <c r="AC70" s="184"/>
      <c r="AD70" s="298"/>
      <c r="AE70" s="298"/>
      <c r="AF70" s="298"/>
      <c r="AG70" s="298"/>
      <c r="AH70" s="298"/>
      <c r="AI70" s="298"/>
      <c r="AJ70" s="298"/>
      <c r="AK70" s="298"/>
      <c r="AL70" s="298"/>
      <c r="AP70" s="85"/>
    </row>
    <row r="71" spans="2:42" ht="12" customHeight="1">
      <c r="B71" s="280">
        <v>6</v>
      </c>
      <c r="C71" s="281"/>
      <c r="D71" s="281"/>
      <c r="E71" s="284" t="str">
        <f>VLOOKUP(B71,'Filtered Data'!K:L,2,FALSE)</f>
        <v>South Gloucestershire</v>
      </c>
      <c r="F71" s="284"/>
      <c r="G71" s="284"/>
      <c r="H71" s="284"/>
      <c r="I71" s="284"/>
      <c r="J71" s="284"/>
      <c r="K71" s="284"/>
      <c r="L71" s="284"/>
      <c r="M71" s="284"/>
      <c r="N71" s="284"/>
      <c r="O71" s="284"/>
      <c r="P71" s="284"/>
      <c r="Q71" s="284"/>
      <c r="R71" s="284"/>
      <c r="S71" s="284"/>
      <c r="T71" s="284"/>
      <c r="U71" s="307">
        <f>IF('Filtered Data'!$H$8="%.",(VLOOKUP(B71,'Filtered Data'!K:M,3,FALSE))/100,VLOOKUP(B71,'Filtered Data'!K:M,3,FALSE))</f>
        <v>0.98360000000000003</v>
      </c>
      <c r="V71" s="307"/>
      <c r="W71" s="307"/>
      <c r="X71" s="307"/>
      <c r="Y71" s="184" t="str">
        <f>IF((VLOOKUP(E71,classifications!C:K,9,FALSE))="Sparse","S","")</f>
        <v/>
      </c>
      <c r="Z71" s="184"/>
      <c r="AA71" s="184"/>
      <c r="AB71" s="184"/>
      <c r="AC71" s="184"/>
      <c r="AD71" s="298"/>
      <c r="AE71" s="298"/>
      <c r="AF71" s="298"/>
      <c r="AG71" s="298"/>
      <c r="AH71" s="298"/>
      <c r="AI71" s="298"/>
      <c r="AJ71" s="298"/>
      <c r="AK71" s="298"/>
      <c r="AL71" s="298"/>
      <c r="AP71" s="85"/>
    </row>
    <row r="72" spans="2:42" ht="12" customHeight="1">
      <c r="B72" s="280">
        <v>7</v>
      </c>
      <c r="C72" s="281"/>
      <c r="D72" s="281"/>
      <c r="E72" s="284" t="str">
        <f>VLOOKUP(B72,'Filtered Data'!K:L,2,FALSE)</f>
        <v>West Berkshire</v>
      </c>
      <c r="F72" s="284"/>
      <c r="G72" s="284"/>
      <c r="H72" s="284"/>
      <c r="I72" s="284"/>
      <c r="J72" s="284"/>
      <c r="K72" s="284"/>
      <c r="L72" s="284"/>
      <c r="M72" s="284"/>
      <c r="N72" s="284"/>
      <c r="O72" s="284"/>
      <c r="P72" s="284"/>
      <c r="Q72" s="284"/>
      <c r="R72" s="284"/>
      <c r="S72" s="284"/>
      <c r="T72" s="284"/>
      <c r="U72" s="307">
        <f>IF('Filtered Data'!$H$8="%.",(VLOOKUP(B72,'Filtered Data'!K:M,3,FALSE))/100,VLOOKUP(B72,'Filtered Data'!K:M,3,FALSE))</f>
        <v>0.98250000000000004</v>
      </c>
      <c r="V72" s="307"/>
      <c r="W72" s="307"/>
      <c r="X72" s="307"/>
      <c r="Y72" s="184" t="str">
        <f>IF((VLOOKUP(E72,classifications!C:K,9,FALSE))="Sparse","S","")</f>
        <v/>
      </c>
      <c r="Z72" s="184"/>
      <c r="AA72" s="184"/>
      <c r="AB72" s="184"/>
      <c r="AC72" s="184"/>
      <c r="AD72" s="298"/>
      <c r="AE72" s="298"/>
      <c r="AF72" s="298"/>
      <c r="AG72" s="298"/>
      <c r="AH72" s="298"/>
      <c r="AI72" s="298"/>
      <c r="AJ72" s="298"/>
      <c r="AK72" s="298"/>
      <c r="AL72" s="298"/>
      <c r="AP72" s="85"/>
    </row>
    <row r="73" spans="2:42" ht="12" customHeight="1">
      <c r="B73" s="280">
        <v>8</v>
      </c>
      <c r="C73" s="281"/>
      <c r="D73" s="281"/>
      <c r="E73" s="284" t="str">
        <f>VLOOKUP(B73,'Filtered Data'!K:L,2,FALSE)</f>
        <v>Poole</v>
      </c>
      <c r="F73" s="284"/>
      <c r="G73" s="284"/>
      <c r="H73" s="284"/>
      <c r="I73" s="284"/>
      <c r="J73" s="284"/>
      <c r="K73" s="284"/>
      <c r="L73" s="284"/>
      <c r="M73" s="284"/>
      <c r="N73" s="284"/>
      <c r="O73" s="284"/>
      <c r="P73" s="284"/>
      <c r="Q73" s="284"/>
      <c r="R73" s="284"/>
      <c r="S73" s="284"/>
      <c r="T73" s="284"/>
      <c r="U73" s="307">
        <f>IF('Filtered Data'!$H$8="%.",(VLOOKUP(B73,'Filtered Data'!K:M,3,FALSE))/100,VLOOKUP(B73,'Filtered Data'!K:M,3,FALSE))</f>
        <v>0.98120000000000007</v>
      </c>
      <c r="V73" s="307"/>
      <c r="W73" s="307"/>
      <c r="X73" s="307"/>
      <c r="Y73" s="184" t="str">
        <f>IF((VLOOKUP(E73,classifications!C:K,9,FALSE))="Sparse","S","")</f>
        <v/>
      </c>
      <c r="Z73" s="184"/>
      <c r="AA73" s="184"/>
      <c r="AB73" s="184"/>
      <c r="AC73" s="184"/>
      <c r="AD73" s="298"/>
      <c r="AE73" s="298"/>
      <c r="AF73" s="298"/>
      <c r="AG73" s="298"/>
      <c r="AH73" s="298"/>
      <c r="AI73" s="298"/>
      <c r="AJ73" s="298"/>
      <c r="AK73" s="298"/>
      <c r="AL73" s="298"/>
      <c r="AP73" s="85"/>
    </row>
    <row r="74" spans="2:42" ht="12" customHeight="1">
      <c r="B74" s="280">
        <v>9</v>
      </c>
      <c r="C74" s="281"/>
      <c r="D74" s="281"/>
      <c r="E74" s="284" t="str">
        <f>VLOOKUP(B74,'Filtered Data'!K:L,2,FALSE)</f>
        <v>Shropshire</v>
      </c>
      <c r="F74" s="284"/>
      <c r="G74" s="284"/>
      <c r="H74" s="284"/>
      <c r="I74" s="284"/>
      <c r="J74" s="284"/>
      <c r="K74" s="284"/>
      <c r="L74" s="284"/>
      <c r="M74" s="284"/>
      <c r="N74" s="284"/>
      <c r="O74" s="284"/>
      <c r="P74" s="284"/>
      <c r="Q74" s="284"/>
      <c r="R74" s="284"/>
      <c r="S74" s="284"/>
      <c r="T74" s="284"/>
      <c r="U74" s="307">
        <f>IF('Filtered Data'!$H$8="%.",(VLOOKUP(B74,'Filtered Data'!K:M,3,FALSE))/100,VLOOKUP(B74,'Filtered Data'!K:M,3,FALSE))</f>
        <v>0.98099999999999998</v>
      </c>
      <c r="V74" s="307"/>
      <c r="W74" s="307"/>
      <c r="X74" s="307"/>
      <c r="Y74" s="184" t="str">
        <f>IF((VLOOKUP(E74,classifications!C:K,9,FALSE))="Sparse","S","")</f>
        <v>S</v>
      </c>
      <c r="Z74" s="184"/>
      <c r="AA74" s="184"/>
      <c r="AB74" s="184"/>
      <c r="AC74" s="184"/>
      <c r="AD74" s="298"/>
      <c r="AE74" s="298"/>
      <c r="AF74" s="298"/>
      <c r="AG74" s="298"/>
      <c r="AH74" s="298"/>
      <c r="AI74" s="298"/>
      <c r="AJ74" s="298"/>
      <c r="AK74" s="298"/>
      <c r="AL74" s="298"/>
      <c r="AP74" s="85"/>
    </row>
    <row r="75" spans="2:42" ht="12" customHeight="1">
      <c r="B75" s="280">
        <v>10</v>
      </c>
      <c r="C75" s="281"/>
      <c r="D75" s="281"/>
      <c r="E75" s="284" t="str">
        <f>VLOOKUP(B75,'Filtered Data'!K:L,2,FALSE)</f>
        <v>Cheshire East</v>
      </c>
      <c r="F75" s="284"/>
      <c r="G75" s="284"/>
      <c r="H75" s="284"/>
      <c r="I75" s="284"/>
      <c r="J75" s="284"/>
      <c r="K75" s="284"/>
      <c r="L75" s="284"/>
      <c r="M75" s="284"/>
      <c r="N75" s="284"/>
      <c r="O75" s="284"/>
      <c r="P75" s="284"/>
      <c r="Q75" s="284"/>
      <c r="R75" s="284"/>
      <c r="S75" s="284"/>
      <c r="T75" s="284"/>
      <c r="U75" s="307">
        <f>IF('Filtered Data'!$H$8="%.",(VLOOKUP(B75,'Filtered Data'!K:M,3,FALSE))/100,VLOOKUP(B75,'Filtered Data'!K:M,3,FALSE))</f>
        <v>0.98049999999999993</v>
      </c>
      <c r="V75" s="307"/>
      <c r="W75" s="307"/>
      <c r="X75" s="307"/>
      <c r="Y75" s="184" t="str">
        <f>IF((VLOOKUP(E75,classifications!C:K,9,FALSE))="Sparse","S","")</f>
        <v>S</v>
      </c>
      <c r="Z75" s="184"/>
      <c r="AA75" s="184"/>
      <c r="AB75" s="184"/>
      <c r="AC75" s="184"/>
      <c r="AD75" s="298"/>
      <c r="AE75" s="298"/>
      <c r="AF75" s="298"/>
      <c r="AG75" s="298"/>
      <c r="AH75" s="298"/>
      <c r="AI75" s="298"/>
      <c r="AJ75" s="298"/>
      <c r="AK75" s="298"/>
      <c r="AL75" s="298"/>
      <c r="AP75" s="85"/>
    </row>
    <row r="76" spans="2:42" ht="12" customHeight="1">
      <c r="B76" s="280">
        <v>11</v>
      </c>
      <c r="C76" s="281"/>
      <c r="D76" s="281"/>
      <c r="E76" s="284" t="str">
        <f>VLOOKUP(B76,'Filtered Data'!K:L,2,FALSE)</f>
        <v>Wiltshire</v>
      </c>
      <c r="F76" s="284"/>
      <c r="G76" s="284"/>
      <c r="H76" s="284"/>
      <c r="I76" s="284"/>
      <c r="J76" s="284"/>
      <c r="K76" s="284"/>
      <c r="L76" s="284"/>
      <c r="M76" s="284"/>
      <c r="N76" s="284"/>
      <c r="O76" s="284"/>
      <c r="P76" s="284"/>
      <c r="Q76" s="284"/>
      <c r="R76" s="284"/>
      <c r="S76" s="284"/>
      <c r="T76" s="284"/>
      <c r="U76" s="307">
        <f>IF('Filtered Data'!$H$8="%.",(VLOOKUP(B76,'Filtered Data'!K:M,3,FALSE))/100,VLOOKUP(B76,'Filtered Data'!K:M,3,FALSE))</f>
        <v>0.97760000000000002</v>
      </c>
      <c r="V76" s="307"/>
      <c r="W76" s="307"/>
      <c r="X76" s="307"/>
      <c r="Y76" s="184" t="str">
        <f>IF((VLOOKUP(E76,classifications!C:K,9,FALSE))="Sparse","S","")</f>
        <v/>
      </c>
      <c r="Z76" s="184"/>
      <c r="AA76" s="184"/>
      <c r="AB76" s="184"/>
      <c r="AC76" s="184"/>
      <c r="AD76" s="298"/>
      <c r="AE76" s="298"/>
      <c r="AF76" s="298"/>
      <c r="AG76" s="298"/>
      <c r="AH76" s="298"/>
      <c r="AI76" s="298"/>
      <c r="AJ76" s="298"/>
      <c r="AK76" s="298"/>
      <c r="AL76" s="298"/>
      <c r="AP76" s="85"/>
    </row>
    <row r="77" spans="2:42" ht="12" customHeight="1">
      <c r="B77" s="280">
        <v>12</v>
      </c>
      <c r="C77" s="281"/>
      <c r="D77" s="281"/>
      <c r="E77" s="284" t="str">
        <f>VLOOKUP(B77,'Filtered Data'!K:L,2,FALSE)</f>
        <v>Windsor &amp; Maidenhead</v>
      </c>
      <c r="F77" s="284"/>
      <c r="G77" s="284"/>
      <c r="H77" s="284"/>
      <c r="I77" s="284"/>
      <c r="J77" s="284"/>
      <c r="K77" s="284"/>
      <c r="L77" s="284"/>
      <c r="M77" s="284"/>
      <c r="N77" s="284"/>
      <c r="O77" s="284"/>
      <c r="P77" s="284"/>
      <c r="Q77" s="284"/>
      <c r="R77" s="284"/>
      <c r="S77" s="284"/>
      <c r="T77" s="284"/>
      <c r="U77" s="307">
        <f>IF('Filtered Data'!$H$8="%.",(VLOOKUP(B77,'Filtered Data'!K:M,3,FALSE))/100,VLOOKUP(B77,'Filtered Data'!K:M,3,FALSE))</f>
        <v>0.97730000000000006</v>
      </c>
      <c r="V77" s="307"/>
      <c r="W77" s="307"/>
      <c r="X77" s="307"/>
      <c r="Y77" s="184" t="str">
        <f>IF((VLOOKUP(E77,classifications!C:K,9,FALSE))="Sparse","S","")</f>
        <v/>
      </c>
      <c r="Z77" s="184"/>
      <c r="AA77" s="184"/>
      <c r="AB77" s="184"/>
      <c r="AC77" s="184"/>
      <c r="AD77" s="298"/>
      <c r="AE77" s="298"/>
      <c r="AF77" s="298"/>
      <c r="AG77" s="298"/>
      <c r="AH77" s="298"/>
      <c r="AI77" s="298"/>
      <c r="AJ77" s="298"/>
      <c r="AK77" s="298"/>
      <c r="AL77" s="298"/>
      <c r="AP77" s="85"/>
    </row>
    <row r="78" spans="2:42" ht="12" customHeight="1">
      <c r="B78" s="280">
        <v>13</v>
      </c>
      <c r="C78" s="281"/>
      <c r="D78" s="281"/>
      <c r="E78" s="284" t="str">
        <f>VLOOKUP(B78,'Filtered Data'!K:L,2,FALSE)</f>
        <v>Isle of Wight</v>
      </c>
      <c r="F78" s="284"/>
      <c r="G78" s="284"/>
      <c r="H78" s="284"/>
      <c r="I78" s="284"/>
      <c r="J78" s="284"/>
      <c r="K78" s="284"/>
      <c r="L78" s="284"/>
      <c r="M78" s="284"/>
      <c r="N78" s="284"/>
      <c r="O78" s="284"/>
      <c r="P78" s="284"/>
      <c r="Q78" s="284"/>
      <c r="R78" s="284"/>
      <c r="S78" s="284"/>
      <c r="T78" s="284"/>
      <c r="U78" s="307">
        <f>IF('Filtered Data'!$H$8="%.",(VLOOKUP(B78,'Filtered Data'!K:M,3,FALSE))/100,VLOOKUP(B78,'Filtered Data'!K:M,3,FALSE))</f>
        <v>0.97699999999999998</v>
      </c>
      <c r="V78" s="307"/>
      <c r="W78" s="307"/>
      <c r="X78" s="307"/>
      <c r="Y78" s="184" t="str">
        <f>IF((VLOOKUP(E78,classifications!C:K,9,FALSE))="Sparse","S","")</f>
        <v>S</v>
      </c>
      <c r="Z78" s="184"/>
      <c r="AA78" s="184"/>
      <c r="AB78" s="184"/>
      <c r="AC78" s="184"/>
      <c r="AD78" s="298"/>
      <c r="AE78" s="298"/>
      <c r="AF78" s="298"/>
      <c r="AG78" s="298"/>
      <c r="AH78" s="298"/>
      <c r="AI78" s="298"/>
      <c r="AJ78" s="298"/>
      <c r="AK78" s="298"/>
      <c r="AL78" s="298"/>
      <c r="AP78" s="85"/>
    </row>
    <row r="79" spans="2:42" ht="12" customHeight="1">
      <c r="B79" s="280">
        <v>14</v>
      </c>
      <c r="C79" s="281"/>
      <c r="D79" s="281"/>
      <c r="E79" s="284" t="str">
        <f>VLOOKUP(B79,'Filtered Data'!K:L,2,FALSE)</f>
        <v>Cheshire West &amp; Chester</v>
      </c>
      <c r="F79" s="284"/>
      <c r="G79" s="284"/>
      <c r="H79" s="284"/>
      <c r="I79" s="284"/>
      <c r="J79" s="284"/>
      <c r="K79" s="284"/>
      <c r="L79" s="284"/>
      <c r="M79" s="284"/>
      <c r="N79" s="284"/>
      <c r="O79" s="284"/>
      <c r="P79" s="284"/>
      <c r="Q79" s="284"/>
      <c r="R79" s="284"/>
      <c r="S79" s="284"/>
      <c r="T79" s="284"/>
      <c r="U79" s="307">
        <f>IF('Filtered Data'!$H$8="%.",(VLOOKUP(B79,'Filtered Data'!K:M,3,FALSE))/100,VLOOKUP(B79,'Filtered Data'!K:M,3,FALSE))</f>
        <v>0.97640000000000005</v>
      </c>
      <c r="V79" s="307"/>
      <c r="W79" s="307"/>
      <c r="X79" s="307"/>
      <c r="Y79" s="184" t="str">
        <f>IF((VLOOKUP(E79,classifications!C:K,9,FALSE))="Sparse","S","")</f>
        <v>S</v>
      </c>
      <c r="Z79" s="184"/>
      <c r="AA79" s="184"/>
      <c r="AB79" s="184"/>
      <c r="AC79" s="184"/>
      <c r="AD79" s="298"/>
      <c r="AE79" s="298"/>
      <c r="AF79" s="298"/>
      <c r="AG79" s="298"/>
      <c r="AH79" s="298"/>
      <c r="AI79" s="298"/>
      <c r="AJ79" s="298"/>
      <c r="AK79" s="298"/>
      <c r="AL79" s="298"/>
      <c r="AP79" s="85"/>
    </row>
    <row r="80" spans="2:42" ht="12" customHeight="1">
      <c r="B80" s="280">
        <v>15</v>
      </c>
      <c r="C80" s="281"/>
      <c r="D80" s="281"/>
      <c r="E80" s="284" t="str">
        <f>VLOOKUP(B80,'Filtered Data'!K:L,2,FALSE)</f>
        <v>East Riding of Yorkshire</v>
      </c>
      <c r="F80" s="284"/>
      <c r="G80" s="284"/>
      <c r="H80" s="284"/>
      <c r="I80" s="284"/>
      <c r="J80" s="284"/>
      <c r="K80" s="284"/>
      <c r="L80" s="284"/>
      <c r="M80" s="284"/>
      <c r="N80" s="284"/>
      <c r="O80" s="284"/>
      <c r="P80" s="284"/>
      <c r="Q80" s="284"/>
      <c r="R80" s="284"/>
      <c r="S80" s="284"/>
      <c r="T80" s="284"/>
      <c r="U80" s="307">
        <f>IF('Filtered Data'!$H$8="%.",(VLOOKUP(B80,'Filtered Data'!K:M,3,FALSE))/100,VLOOKUP(B80,'Filtered Data'!K:M,3,FALSE))</f>
        <v>0.9758</v>
      </c>
      <c r="V80" s="307"/>
      <c r="W80" s="307"/>
      <c r="X80" s="307"/>
      <c r="Y80" s="184" t="str">
        <f>IF((VLOOKUP(E80,classifications!C:K,9,FALSE))="Sparse","S","")</f>
        <v>S</v>
      </c>
      <c r="Z80" s="184"/>
      <c r="AA80" s="184"/>
      <c r="AB80" s="184"/>
      <c r="AC80" s="184"/>
      <c r="AD80" s="298"/>
      <c r="AE80" s="298"/>
      <c r="AF80" s="298"/>
      <c r="AG80" s="298"/>
      <c r="AH80" s="298"/>
      <c r="AI80" s="298"/>
      <c r="AJ80" s="298"/>
      <c r="AK80" s="298"/>
      <c r="AL80" s="298"/>
      <c r="AP80" s="85"/>
    </row>
    <row r="81" spans="1:42" ht="12" customHeight="1">
      <c r="B81" s="280">
        <v>16</v>
      </c>
      <c r="C81" s="281"/>
      <c r="D81" s="281"/>
      <c r="E81" s="284" t="str">
        <f>VLOOKUP(B81,'Filtered Data'!K:L,2,FALSE)</f>
        <v>North Lincolnshire</v>
      </c>
      <c r="F81" s="284"/>
      <c r="G81" s="284"/>
      <c r="H81" s="284"/>
      <c r="I81" s="284"/>
      <c r="J81" s="284"/>
      <c r="K81" s="284"/>
      <c r="L81" s="284"/>
      <c r="M81" s="284"/>
      <c r="N81" s="284"/>
      <c r="O81" s="284"/>
      <c r="P81" s="284"/>
      <c r="Q81" s="284"/>
      <c r="R81" s="284"/>
      <c r="S81" s="284"/>
      <c r="T81" s="284"/>
      <c r="U81" s="307">
        <f>IF('Filtered Data'!$H$8="%.",(VLOOKUP(B81,'Filtered Data'!K:M,3,FALSE))/100,VLOOKUP(B81,'Filtered Data'!K:M,3,FALSE))</f>
        <v>0.9758</v>
      </c>
      <c r="V81" s="307"/>
      <c r="W81" s="307"/>
      <c r="X81" s="307"/>
      <c r="Y81" s="184" t="str">
        <f>IF((VLOOKUP(E81,classifications!C:K,9,FALSE))="Sparse","S","")</f>
        <v>S</v>
      </c>
      <c r="Z81" s="184"/>
      <c r="AA81" s="184"/>
      <c r="AB81" s="184"/>
      <c r="AC81" s="184"/>
      <c r="AD81" s="298"/>
      <c r="AE81" s="298"/>
      <c r="AF81" s="298"/>
      <c r="AG81" s="298"/>
      <c r="AH81" s="298"/>
      <c r="AI81" s="298"/>
      <c r="AJ81" s="298"/>
      <c r="AK81" s="298"/>
      <c r="AL81" s="298"/>
      <c r="AP81" s="85"/>
    </row>
    <row r="82" spans="1:42" ht="12" customHeight="1">
      <c r="B82" s="280">
        <v>17</v>
      </c>
      <c r="C82" s="281"/>
      <c r="D82" s="281"/>
      <c r="E82" s="284" t="str">
        <f>VLOOKUP(B82,'Filtered Data'!K:L,2,FALSE)</f>
        <v>York</v>
      </c>
      <c r="F82" s="284"/>
      <c r="G82" s="284"/>
      <c r="H82" s="284"/>
      <c r="I82" s="284"/>
      <c r="J82" s="284"/>
      <c r="K82" s="284"/>
      <c r="L82" s="284"/>
      <c r="M82" s="284"/>
      <c r="N82" s="284"/>
      <c r="O82" s="284"/>
      <c r="P82" s="284"/>
      <c r="Q82" s="284"/>
      <c r="R82" s="284"/>
      <c r="S82" s="284"/>
      <c r="T82" s="284"/>
      <c r="U82" s="307">
        <f>IF('Filtered Data'!$H$8="%.",(VLOOKUP(B82,'Filtered Data'!K:M,3,FALSE))/100,VLOOKUP(B82,'Filtered Data'!K:M,3,FALSE))</f>
        <v>0.9758</v>
      </c>
      <c r="V82" s="307"/>
      <c r="W82" s="307"/>
      <c r="X82" s="307"/>
      <c r="Y82" s="184" t="str">
        <f>IF((VLOOKUP(E82,classifications!C:K,9,FALSE))="Sparse","S","")</f>
        <v/>
      </c>
      <c r="Z82" s="184"/>
      <c r="AA82" s="184"/>
      <c r="AB82" s="184"/>
      <c r="AC82" s="184"/>
      <c r="AD82" s="298"/>
      <c r="AE82" s="298"/>
      <c r="AF82" s="298"/>
      <c r="AG82" s="298"/>
      <c r="AH82" s="298"/>
      <c r="AI82" s="298"/>
      <c r="AJ82" s="298"/>
      <c r="AK82" s="298"/>
      <c r="AL82" s="298"/>
      <c r="AP82" s="85"/>
    </row>
    <row r="83" spans="1:42" ht="12" customHeight="1">
      <c r="B83" s="280">
        <v>18</v>
      </c>
      <c r="C83" s="281"/>
      <c r="D83" s="281"/>
      <c r="E83" s="284" t="str">
        <f>VLOOKUP(B83,'Filtered Data'!K:L,2,FALSE)</f>
        <v>Bracknell Forest</v>
      </c>
      <c r="F83" s="284"/>
      <c r="G83" s="284"/>
      <c r="H83" s="284"/>
      <c r="I83" s="284"/>
      <c r="J83" s="284"/>
      <c r="K83" s="284"/>
      <c r="L83" s="284"/>
      <c r="M83" s="284"/>
      <c r="N83" s="284"/>
      <c r="O83" s="284"/>
      <c r="P83" s="284"/>
      <c r="Q83" s="284"/>
      <c r="R83" s="284"/>
      <c r="S83" s="284"/>
      <c r="T83" s="284"/>
      <c r="U83" s="307">
        <f>IF('Filtered Data'!$H$8="%.",(VLOOKUP(B83,'Filtered Data'!K:M,3,FALSE))/100,VLOOKUP(B83,'Filtered Data'!K:M,3,FALSE))</f>
        <v>0.9756999999999999</v>
      </c>
      <c r="V83" s="307"/>
      <c r="W83" s="307"/>
      <c r="X83" s="307"/>
      <c r="Y83" s="184" t="str">
        <f>IF((VLOOKUP(E83,classifications!C:K,9,FALSE))="Sparse","S","")</f>
        <v/>
      </c>
      <c r="Z83" s="184"/>
      <c r="AA83" s="184"/>
      <c r="AB83" s="184"/>
      <c r="AC83" s="184"/>
      <c r="AD83" s="298"/>
      <c r="AE83" s="298"/>
      <c r="AF83" s="298"/>
      <c r="AG83" s="298"/>
      <c r="AH83" s="298"/>
      <c r="AI83" s="298"/>
      <c r="AJ83" s="298"/>
      <c r="AK83" s="298"/>
      <c r="AL83" s="298"/>
      <c r="AP83" s="85"/>
    </row>
    <row r="84" spans="1:42" ht="12" customHeight="1">
      <c r="B84" s="280">
        <v>19</v>
      </c>
      <c r="C84" s="281"/>
      <c r="D84" s="281"/>
      <c r="E84" s="284" t="str">
        <f>VLOOKUP(B84,'Filtered Data'!K:L,2,FALSE)</f>
        <v>Milton Keynes</v>
      </c>
      <c r="F84" s="284"/>
      <c r="G84" s="284"/>
      <c r="H84" s="284"/>
      <c r="I84" s="284"/>
      <c r="J84" s="284"/>
      <c r="K84" s="284"/>
      <c r="L84" s="284"/>
      <c r="M84" s="284"/>
      <c r="N84" s="284"/>
      <c r="O84" s="284"/>
      <c r="P84" s="284"/>
      <c r="Q84" s="284"/>
      <c r="R84" s="284"/>
      <c r="S84" s="284"/>
      <c r="T84" s="284"/>
      <c r="U84" s="307">
        <f>IF('Filtered Data'!$H$8="%.",(VLOOKUP(B84,'Filtered Data'!K:M,3,FALSE))/100,VLOOKUP(B84,'Filtered Data'!K:M,3,FALSE))</f>
        <v>0.97530000000000006</v>
      </c>
      <c r="V84" s="307"/>
      <c r="W84" s="307"/>
      <c r="X84" s="307"/>
      <c r="Y84" s="184" t="str">
        <f>IF((VLOOKUP(E84,classifications!C:K,9,FALSE))="Sparse","S","")</f>
        <v/>
      </c>
      <c r="Z84" s="184"/>
      <c r="AA84" s="184"/>
      <c r="AB84" s="184"/>
      <c r="AC84" s="184"/>
      <c r="AD84" s="298"/>
      <c r="AE84" s="298"/>
      <c r="AF84" s="298"/>
      <c r="AG84" s="298"/>
      <c r="AH84" s="298"/>
      <c r="AI84" s="298"/>
      <c r="AJ84" s="298"/>
      <c r="AK84" s="298"/>
      <c r="AL84" s="298"/>
      <c r="AP84" s="85"/>
    </row>
    <row r="85" spans="1:42" ht="12" customHeight="1">
      <c r="B85" s="280">
        <v>20</v>
      </c>
      <c r="C85" s="280"/>
      <c r="D85" s="280"/>
      <c r="E85" s="284" t="str">
        <f>VLOOKUP(B85,'Filtered Data'!K:L,2,FALSE)</f>
        <v>Bedford</v>
      </c>
      <c r="F85" s="284"/>
      <c r="G85" s="284"/>
      <c r="H85" s="284"/>
      <c r="I85" s="284"/>
      <c r="J85" s="284"/>
      <c r="K85" s="284"/>
      <c r="L85" s="284"/>
      <c r="M85" s="284"/>
      <c r="N85" s="284"/>
      <c r="O85" s="284"/>
      <c r="P85" s="284"/>
      <c r="Q85" s="284"/>
      <c r="R85" s="284"/>
      <c r="S85" s="284"/>
      <c r="T85" s="284"/>
      <c r="U85" s="307">
        <f>IF('Filtered Data'!$H$8="%.",(VLOOKUP(B85,'Filtered Data'!K:M,3,FALSE))/100,VLOOKUP(B85,'Filtered Data'!K:M,3,FALSE))</f>
        <v>0.97519999999999996</v>
      </c>
      <c r="V85" s="307"/>
      <c r="W85" s="307"/>
      <c r="X85" s="307"/>
      <c r="Y85" s="184" t="str">
        <f>IF((VLOOKUP(E85,classifications!C:K,9,FALSE))="Sparse","S","")</f>
        <v/>
      </c>
      <c r="Z85" s="184"/>
      <c r="AA85" s="184"/>
      <c r="AB85" s="184"/>
      <c r="AC85" s="184"/>
      <c r="AD85" s="298"/>
      <c r="AE85" s="298"/>
      <c r="AF85" s="298"/>
      <c r="AG85" s="298"/>
      <c r="AH85" s="298"/>
      <c r="AI85" s="298"/>
      <c r="AJ85" s="298"/>
      <c r="AK85" s="298"/>
      <c r="AL85" s="298"/>
      <c r="AP85" s="85"/>
    </row>
    <row r="86" spans="1:42" ht="12" customHeight="1">
      <c r="A86" s="80"/>
      <c r="B86" s="282" t="str">
        <f>IF(Q37&lt;=MAX(B66:D85),"",Q37)</f>
        <v/>
      </c>
      <c r="C86" s="282"/>
      <c r="D86" s="282"/>
      <c r="E86" s="279" t="str">
        <f>IF(B86="","",VLOOKUP(B86,'Filtered Data'!K:L,2,FALSE))</f>
        <v/>
      </c>
      <c r="F86" s="279"/>
      <c r="G86" s="279"/>
      <c r="H86" s="279"/>
      <c r="I86" s="279"/>
      <c r="J86" s="279"/>
      <c r="K86" s="279"/>
      <c r="L86" s="279"/>
      <c r="M86" s="279"/>
      <c r="N86" s="279"/>
      <c r="O86" s="279"/>
      <c r="P86" s="279"/>
      <c r="Q86" s="279"/>
      <c r="R86" s="279"/>
      <c r="S86" s="279"/>
      <c r="T86" s="279"/>
      <c r="U86" s="351" t="str">
        <f>IF(B86="","",L35)</f>
        <v/>
      </c>
      <c r="V86" s="351"/>
      <c r="W86" s="351"/>
      <c r="X86" s="351"/>
      <c r="Y86" s="184" t="str">
        <f>IF(B86="","",IF((VLOOKUP(E86,classifications!C:K,9,FALSE))="Sparse","S",""))</f>
        <v/>
      </c>
      <c r="Z86" s="184"/>
      <c r="AA86" s="184"/>
      <c r="AB86" s="184"/>
      <c r="AC86" s="184"/>
      <c r="AD86" s="352"/>
      <c r="AE86" s="352"/>
      <c r="AF86" s="352"/>
      <c r="AG86" s="352"/>
      <c r="AH86" s="352"/>
      <c r="AI86" s="352"/>
      <c r="AJ86" s="352"/>
      <c r="AK86" s="352"/>
      <c r="AL86" s="352"/>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North West</v>
      </c>
      <c r="AP89" s="85"/>
    </row>
    <row r="90" spans="1:42" ht="12" customHeight="1">
      <c r="B90" s="1"/>
      <c r="AP90" s="85"/>
    </row>
    <row r="91" spans="1:42" ht="12" customHeight="1">
      <c r="B91" s="283" t="s">
        <v>357</v>
      </c>
      <c r="C91" s="283"/>
      <c r="D91" s="283"/>
      <c r="E91" s="288" t="s">
        <v>334</v>
      </c>
      <c r="F91" s="288"/>
      <c r="G91" s="288"/>
      <c r="H91" s="288"/>
      <c r="I91" s="288"/>
      <c r="J91" s="288"/>
      <c r="K91" s="288"/>
      <c r="L91" s="288"/>
      <c r="M91" s="288"/>
      <c r="N91" s="288"/>
      <c r="O91" s="283" t="s">
        <v>368</v>
      </c>
      <c r="P91" s="283"/>
      <c r="Q91" s="283"/>
      <c r="U91" s="283" t="str">
        <f>IF('Filtered Data'!D1="MD","",IF('Filtered Data'!D1="SC","","Rank"))</f>
        <v>Rank</v>
      </c>
      <c r="V91" s="283"/>
      <c r="W91" s="283"/>
      <c r="X91" s="288" t="str">
        <f>IF('Filtered Data'!D1="MD","",IF('Filtered Data'!D1="SC","","Authority"))</f>
        <v>Authority</v>
      </c>
      <c r="Y91" s="288"/>
      <c r="Z91" s="288"/>
      <c r="AA91" s="288"/>
      <c r="AB91" s="288"/>
      <c r="AC91" s="288"/>
      <c r="AD91" s="288"/>
      <c r="AE91" s="288"/>
      <c r="AF91" s="288"/>
      <c r="AG91" s="288"/>
      <c r="AH91" s="283" t="str">
        <f>IF('Filtered Data'!D1="MD","",IF('Filtered Data'!D1="SC","","Value"))</f>
        <v>Value</v>
      </c>
      <c r="AI91" s="283"/>
      <c r="AJ91" s="283"/>
      <c r="AP91" s="85"/>
    </row>
    <row r="92" spans="1:42" ht="12" customHeight="1">
      <c r="B92" s="276">
        <v>1</v>
      </c>
      <c r="C92" s="277"/>
      <c r="D92" s="277"/>
      <c r="E92" s="279" t="str">
        <f>IF(ISNA(VLOOKUP(B92,'Filtered Data'!AE:AF,2,FALSE)),"",(VLOOKUP(B92,'Filtered Data'!AE:AF,2,FALSE)))</f>
        <v>Bath &amp; North East Somerset</v>
      </c>
      <c r="F92" s="279"/>
      <c r="G92" s="279"/>
      <c r="H92" s="279"/>
      <c r="I92" s="279"/>
      <c r="J92" s="279"/>
      <c r="K92" s="279"/>
      <c r="L92" s="279"/>
      <c r="M92" s="279"/>
      <c r="N92" s="279"/>
      <c r="O92" s="278">
        <f>IF(E92="","",IF('Filtered Data'!$H$8="%.",(VLOOKUP(B92,'Filtered Data'!AE:AG,3,FALSE))/100,VLOOKUP(B92,'Filtered Data'!AE:AG,3,FALSE)))</f>
        <v>0.98780000000000001</v>
      </c>
      <c r="P92" s="278"/>
      <c r="Q92" s="278"/>
      <c r="R92" s="278"/>
      <c r="S92" s="185" t="str">
        <f>IF(E92="","",IF((VLOOKUP(E92,classifications!C:K,9,FALSE))="Sparse","S",""))</f>
        <v/>
      </c>
      <c r="U92" s="295">
        <f>IF('Filtered Data'!$D$1="MD","",IF('Filtered Data'!$D$1="SC","",IF('Filtered Data'!$D$1="UA",'Filtered Data'!AS11,'Filtered Data'!AL11)))</f>
        <v>1</v>
      </c>
      <c r="V92" s="281"/>
      <c r="W92" s="281"/>
      <c r="X92" s="284" t="str">
        <f>IF(U92="","",IF('Filtered Data'!$D$1="UA",VLOOKUP(U92,'Filtered Data'!AS:AU,2,FALSE),VLOOKUP(U92,'Filtered Data'!AL:AN,2,FALSE)))</f>
        <v>Cheshire East</v>
      </c>
      <c r="Y92" s="284"/>
      <c r="Z92" s="284"/>
      <c r="AA92" s="284"/>
      <c r="AB92" s="284"/>
      <c r="AC92" s="284"/>
      <c r="AD92" s="284"/>
      <c r="AE92" s="284"/>
      <c r="AF92" s="284"/>
      <c r="AG92" s="284"/>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0.98049999999999993</v>
      </c>
      <c r="AI92" s="278"/>
      <c r="AJ92" s="278"/>
      <c r="AK92" s="278"/>
      <c r="AL92" s="185" t="str">
        <f>IF(X92="","",IF((VLOOKUP(X92,classifications!C:K,9,FALSE))="Sparse","S",""))</f>
        <v>S</v>
      </c>
      <c r="AP92" s="85"/>
    </row>
    <row r="93" spans="1:42" ht="12" customHeight="1">
      <c r="B93" s="276">
        <v>2</v>
      </c>
      <c r="C93" s="277"/>
      <c r="D93" s="277"/>
      <c r="E93" s="279" t="str">
        <f>IF(ISNA(VLOOKUP(B93,'Filtered Data'!AE:AF,2,FALSE)),"",(VLOOKUP(B93,'Filtered Data'!AE:AF,2,FALSE)))</f>
        <v>Solihull</v>
      </c>
      <c r="F93" s="279"/>
      <c r="G93" s="279"/>
      <c r="H93" s="279"/>
      <c r="I93" s="279"/>
      <c r="J93" s="279"/>
      <c r="K93" s="279"/>
      <c r="L93" s="279"/>
      <c r="M93" s="279"/>
      <c r="N93" s="279"/>
      <c r="O93" s="278">
        <f>IF(E93="","",IF('Filtered Data'!$H$8="%.",(VLOOKUP(B93,'Filtered Data'!AE:AG,3,FALSE))/100,VLOOKUP(B93,'Filtered Data'!AE:AG,3,FALSE)))</f>
        <v>0.98580000000000001</v>
      </c>
      <c r="P93" s="278"/>
      <c r="Q93" s="278"/>
      <c r="R93" s="278"/>
      <c r="S93" s="185" t="str">
        <f>IF(E93="","",IF((VLOOKUP(E93,classifications!C:K,9,FALSE))="Sparse","S",""))</f>
        <v/>
      </c>
      <c r="U93" s="295">
        <f>IF('Filtered Data'!$D$1="MD","",IF('Filtered Data'!$D$1="SC","",IF('Filtered Data'!$D$1="UA",'Filtered Data'!AS12,'Filtered Data'!AL12)))</f>
        <v>2</v>
      </c>
      <c r="V93" s="281"/>
      <c r="W93" s="281"/>
      <c r="X93" s="284" t="str">
        <f>IF(U93="","",IF('Filtered Data'!$D$1="UA",VLOOKUP(U93,'Filtered Data'!AS:AU,2,FALSE),VLOOKUP(U93,'Filtered Data'!AL:AN,2,FALSE)))</f>
        <v>Cheshire West &amp; Chester</v>
      </c>
      <c r="Y93" s="284"/>
      <c r="Z93" s="284"/>
      <c r="AA93" s="284"/>
      <c r="AB93" s="284"/>
      <c r="AC93" s="284"/>
      <c r="AD93" s="284"/>
      <c r="AE93" s="284"/>
      <c r="AF93" s="284"/>
      <c r="AG93" s="284"/>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0.97640000000000005</v>
      </c>
      <c r="AI93" s="278"/>
      <c r="AJ93" s="278"/>
      <c r="AK93" s="278"/>
      <c r="AL93" s="185" t="str">
        <f>IF(X93="","",IF((VLOOKUP(X93,classifications!C:K,9,FALSE))="Sparse","S",""))</f>
        <v>S</v>
      </c>
      <c r="AP93" s="85"/>
    </row>
    <row r="94" spans="1:42" ht="12" customHeight="1">
      <c r="B94" s="276">
        <v>3</v>
      </c>
      <c r="C94" s="277"/>
      <c r="D94" s="277"/>
      <c r="E94" s="279" t="str">
        <f>IF(ISNA(VLOOKUP(B94,'Filtered Data'!AE:AF,2,FALSE)),"",(VLOOKUP(B94,'Filtered Data'!AE:AF,2,FALSE)))</f>
        <v>Herefordshire</v>
      </c>
      <c r="F94" s="279"/>
      <c r="G94" s="279"/>
      <c r="H94" s="279"/>
      <c r="I94" s="279"/>
      <c r="J94" s="279"/>
      <c r="K94" s="279"/>
      <c r="L94" s="279"/>
      <c r="M94" s="279"/>
      <c r="N94" s="279"/>
      <c r="O94" s="278">
        <f>IF(E94="","",IF('Filtered Data'!$H$8="%.",(VLOOKUP(B94,'Filtered Data'!AE:AG,3,FALSE))/100,VLOOKUP(B94,'Filtered Data'!AE:AG,3,FALSE)))</f>
        <v>0.9840000000000001</v>
      </c>
      <c r="P94" s="278"/>
      <c r="Q94" s="278"/>
      <c r="R94" s="278"/>
      <c r="S94" s="185" t="str">
        <f>IF(E94="","",IF((VLOOKUP(E94,classifications!C:K,9,FALSE))="Sparse","S",""))</f>
        <v>S</v>
      </c>
      <c r="U94" s="295">
        <f>IF('Filtered Data'!$D$1="MD","",IF('Filtered Data'!$D$1="SC","",IF('Filtered Data'!$D$1="UA",'Filtered Data'!AS13,'Filtered Data'!AL13)))</f>
        <v>3</v>
      </c>
      <c r="V94" s="281"/>
      <c r="W94" s="281"/>
      <c r="X94" s="284" t="str">
        <f>IF(U94="","",IF('Filtered Data'!$D$1="UA",VLOOKUP(U94,'Filtered Data'!AS:AU,2,FALSE),VLOOKUP(U94,'Filtered Data'!AL:AN,2,FALSE)))</f>
        <v>Warrington</v>
      </c>
      <c r="Y94" s="284"/>
      <c r="Z94" s="284"/>
      <c r="AA94" s="284"/>
      <c r="AB94" s="284"/>
      <c r="AC94" s="284"/>
      <c r="AD94" s="284"/>
      <c r="AE94" s="284"/>
      <c r="AF94" s="284"/>
      <c r="AG94" s="284"/>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0.97219999999999995</v>
      </c>
      <c r="AI94" s="278"/>
      <c r="AJ94" s="278"/>
      <c r="AK94" s="278"/>
      <c r="AL94" s="185" t="str">
        <f>IF(X94="","",IF((VLOOKUP(X94,classifications!C:K,9,FALSE))="Sparse","S",""))</f>
        <v/>
      </c>
      <c r="AP94" s="85"/>
    </row>
    <row r="95" spans="1:42" ht="12" customHeight="1">
      <c r="B95" s="276">
        <v>4</v>
      </c>
      <c r="C95" s="277"/>
      <c r="D95" s="277"/>
      <c r="E95" s="279" t="str">
        <f>IF(ISNA(VLOOKUP(B95,'Filtered Data'!AE:AF,2,FALSE)),"",(VLOOKUP(B95,'Filtered Data'!AE:AF,2,FALSE)))</f>
        <v>South Gloucestershire</v>
      </c>
      <c r="F95" s="279"/>
      <c r="G95" s="279"/>
      <c r="H95" s="279"/>
      <c r="I95" s="279"/>
      <c r="J95" s="279"/>
      <c r="K95" s="279"/>
      <c r="L95" s="279"/>
      <c r="M95" s="279"/>
      <c r="N95" s="279"/>
      <c r="O95" s="278">
        <f>IF(E95="","",IF('Filtered Data'!$H$8="%.",(VLOOKUP(B95,'Filtered Data'!AE:AG,3,FALSE))/100,VLOOKUP(B95,'Filtered Data'!AE:AG,3,FALSE)))</f>
        <v>0.98360000000000003</v>
      </c>
      <c r="P95" s="278"/>
      <c r="Q95" s="278"/>
      <c r="R95" s="278"/>
      <c r="S95" s="185" t="str">
        <f>IF(E95="","",IF((VLOOKUP(E95,classifications!C:K,9,FALSE))="Sparse","S",""))</f>
        <v/>
      </c>
      <c r="U95" s="295">
        <f>IF('Filtered Data'!$D$1="MD","",IF('Filtered Data'!$D$1="SC","",IF('Filtered Data'!$D$1="UA",'Filtered Data'!AS14,'Filtered Data'!AL14)))</f>
        <v>4</v>
      </c>
      <c r="V95" s="281"/>
      <c r="W95" s="281"/>
      <c r="X95" s="284" t="str">
        <f>IF(U95="","",IF('Filtered Data'!$D$1="UA",VLOOKUP(U95,'Filtered Data'!AS:AU,2,FALSE),VLOOKUP(U95,'Filtered Data'!AL:AN,2,FALSE)))</f>
        <v>Halton</v>
      </c>
      <c r="Y95" s="284"/>
      <c r="Z95" s="284"/>
      <c r="AA95" s="284"/>
      <c r="AB95" s="284"/>
      <c r="AC95" s="284"/>
      <c r="AD95" s="284"/>
      <c r="AE95" s="284"/>
      <c r="AF95" s="284"/>
      <c r="AG95" s="284"/>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0.95799999999999996</v>
      </c>
      <c r="AI95" s="278"/>
      <c r="AJ95" s="278"/>
      <c r="AK95" s="278"/>
      <c r="AL95" s="185" t="str">
        <f>IF(X95="","",IF((VLOOKUP(X95,classifications!C:K,9,FALSE))="Sparse","S",""))</f>
        <v/>
      </c>
      <c r="AP95" s="85"/>
    </row>
    <row r="96" spans="1:42" ht="12" customHeight="1">
      <c r="B96" s="276">
        <v>5</v>
      </c>
      <c r="C96" s="277"/>
      <c r="D96" s="277"/>
      <c r="E96" s="279" t="str">
        <f>IF(ISNA(VLOOKUP(B96,'Filtered Data'!AE:AF,2,FALSE)),"",(VLOOKUP(B96,'Filtered Data'!AE:AF,2,FALSE)))</f>
        <v>Shropshire</v>
      </c>
      <c r="F96" s="279"/>
      <c r="G96" s="279"/>
      <c r="H96" s="279"/>
      <c r="I96" s="279"/>
      <c r="J96" s="279"/>
      <c r="K96" s="279"/>
      <c r="L96" s="279"/>
      <c r="M96" s="279"/>
      <c r="N96" s="279"/>
      <c r="O96" s="278">
        <f>IF(E96="","",IF('Filtered Data'!$H$8="%.",(VLOOKUP(B96,'Filtered Data'!AE:AG,3,FALSE))/100,VLOOKUP(B96,'Filtered Data'!AE:AG,3,FALSE)))</f>
        <v>0.98099999999999998</v>
      </c>
      <c r="P96" s="278"/>
      <c r="Q96" s="278"/>
      <c r="R96" s="278"/>
      <c r="S96" s="185" t="str">
        <f>IF(E96="","",IF((VLOOKUP(E96,classifications!C:K,9,FALSE))="Sparse","S",""))</f>
        <v>S</v>
      </c>
      <c r="U96" s="295">
        <f>IF('Filtered Data'!$D$1="MD","",IF('Filtered Data'!$D$1="SC","",IF('Filtered Data'!$D$1="UA",'Filtered Data'!AS15,'Filtered Data'!AL15)))</f>
        <v>5</v>
      </c>
      <c r="V96" s="281"/>
      <c r="W96" s="281"/>
      <c r="X96" s="284" t="str">
        <f>IF(U96="","",IF('Filtered Data'!$D$1="UA",VLOOKUP(U96,'Filtered Data'!AS:AU,2,FALSE),VLOOKUP(U96,'Filtered Data'!AL:AN,2,FALSE)))</f>
        <v>Blackburn with Darwen</v>
      </c>
      <c r="Y96" s="284"/>
      <c r="Z96" s="284"/>
      <c r="AA96" s="284"/>
      <c r="AB96" s="284"/>
      <c r="AC96" s="284"/>
      <c r="AD96" s="284"/>
      <c r="AE96" s="284"/>
      <c r="AF96" s="284"/>
      <c r="AG96" s="284"/>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0.95550000000000002</v>
      </c>
      <c r="AI96" s="278"/>
      <c r="AJ96" s="278"/>
      <c r="AK96" s="278"/>
      <c r="AL96" s="185" t="str">
        <f>IF(X96="","",IF((VLOOKUP(X96,classifications!C:K,9,FALSE))="Sparse","S",""))</f>
        <v/>
      </c>
      <c r="AP96" s="85"/>
    </row>
    <row r="97" spans="2:42" ht="12" customHeight="1">
      <c r="B97" s="276">
        <v>6</v>
      </c>
      <c r="C97" s="277"/>
      <c r="D97" s="277"/>
      <c r="E97" s="279" t="str">
        <f>IF(ISNA(VLOOKUP(B97,'Filtered Data'!AE:AF,2,FALSE)),"",(VLOOKUP(B97,'Filtered Data'!AE:AF,2,FALSE)))</f>
        <v>Cheshire East</v>
      </c>
      <c r="F97" s="279"/>
      <c r="G97" s="279"/>
      <c r="H97" s="279"/>
      <c r="I97" s="279"/>
      <c r="J97" s="279"/>
      <c r="K97" s="279"/>
      <c r="L97" s="279"/>
      <c r="M97" s="279"/>
      <c r="N97" s="279"/>
      <c r="O97" s="278">
        <f>IF(E97="","",IF('Filtered Data'!$H$8="%.",(VLOOKUP(B97,'Filtered Data'!AE:AG,3,FALSE))/100,VLOOKUP(B97,'Filtered Data'!AE:AG,3,FALSE)))</f>
        <v>0.98049999999999993</v>
      </c>
      <c r="P97" s="278"/>
      <c r="Q97" s="278"/>
      <c r="R97" s="278"/>
      <c r="S97" s="185" t="str">
        <f>IF(E97="","",IF((VLOOKUP(E97,classifications!C:K,9,FALSE))="Sparse","S",""))</f>
        <v>S</v>
      </c>
      <c r="U97" s="295">
        <f>IF('Filtered Data'!$D$1="MD","",IF('Filtered Data'!$D$1="SC","",IF('Filtered Data'!$D$1="UA",'Filtered Data'!AS16,'Filtered Data'!AL16)))</f>
        <v>6</v>
      </c>
      <c r="V97" s="281"/>
      <c r="W97" s="281"/>
      <c r="X97" s="284" t="str">
        <f>IF(U97="","",IF('Filtered Data'!$D$1="UA",VLOOKUP(U97,'Filtered Data'!AS:AU,2,FALSE),VLOOKUP(U97,'Filtered Data'!AL:AN,2,FALSE)))</f>
        <v>Blackpool</v>
      </c>
      <c r="Y97" s="284"/>
      <c r="Z97" s="284"/>
      <c r="AA97" s="284"/>
      <c r="AB97" s="284"/>
      <c r="AC97" s="284"/>
      <c r="AD97" s="284"/>
      <c r="AE97" s="284"/>
      <c r="AF97" s="284"/>
      <c r="AG97" s="284"/>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0.93090000000000006</v>
      </c>
      <c r="AI97" s="278"/>
      <c r="AJ97" s="278"/>
      <c r="AK97" s="278"/>
      <c r="AL97" s="185" t="str">
        <f>IF(X97="","",IF((VLOOKUP(X97,classifications!C:K,9,FALSE))="Sparse","S",""))</f>
        <v/>
      </c>
      <c r="AP97" s="85"/>
    </row>
    <row r="98" spans="2:42" ht="12" customHeight="1">
      <c r="B98" s="276">
        <v>7</v>
      </c>
      <c r="C98" s="277"/>
      <c r="D98" s="277"/>
      <c r="E98" s="279" t="str">
        <f>IF(ISNA(VLOOKUP(B98,'Filtered Data'!AE:AF,2,FALSE)),"",(VLOOKUP(B98,'Filtered Data'!AE:AF,2,FALSE)))</f>
        <v>Wiltshire</v>
      </c>
      <c r="F98" s="279"/>
      <c r="G98" s="279"/>
      <c r="H98" s="279"/>
      <c r="I98" s="279"/>
      <c r="J98" s="279"/>
      <c r="K98" s="279"/>
      <c r="L98" s="279"/>
      <c r="M98" s="279"/>
      <c r="N98" s="279"/>
      <c r="O98" s="278">
        <f>IF(E98="","",IF('Filtered Data'!$H$8="%.",(VLOOKUP(B98,'Filtered Data'!AE:AG,3,FALSE))/100,VLOOKUP(B98,'Filtered Data'!AE:AG,3,FALSE)))</f>
        <v>0.97760000000000002</v>
      </c>
      <c r="P98" s="278"/>
      <c r="Q98" s="278"/>
      <c r="R98" s="278"/>
      <c r="S98" s="185" t="str">
        <f>IF(E98="","",IF((VLOOKUP(E98,classifications!C:K,9,FALSE))="Sparse","S",""))</f>
        <v/>
      </c>
      <c r="U98" s="295" t="str">
        <f>IF('Filtered Data'!$D$1="MD","",IF('Filtered Data'!$D$1="SC","",IF('Filtered Data'!$D$1="UA",'Filtered Data'!AS17,'Filtered Data'!AL17)))</f>
        <v/>
      </c>
      <c r="V98" s="281"/>
      <c r="W98" s="281"/>
      <c r="X98" s="284" t="str">
        <f>IF(U98="","",IF('Filtered Data'!$D$1="UA",VLOOKUP(U98,'Filtered Data'!AS:AU,2,FALSE),VLOOKUP(U98,'Filtered Data'!AL:AN,2,FALSE)))</f>
        <v/>
      </c>
      <c r="Y98" s="284"/>
      <c r="Z98" s="284"/>
      <c r="AA98" s="284"/>
      <c r="AB98" s="284"/>
      <c r="AC98" s="284"/>
      <c r="AD98" s="284"/>
      <c r="AE98" s="284"/>
      <c r="AF98" s="284"/>
      <c r="AG98" s="284"/>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76">
        <v>8</v>
      </c>
      <c r="C99" s="277"/>
      <c r="D99" s="277"/>
      <c r="E99" s="279" t="str">
        <f>IF(ISNA(VLOOKUP(B99,'Filtered Data'!AE:AF,2,FALSE)),"",(VLOOKUP(B99,'Filtered Data'!AE:AF,2,FALSE)))</f>
        <v>Trafford</v>
      </c>
      <c r="F99" s="279"/>
      <c r="G99" s="279"/>
      <c r="H99" s="279"/>
      <c r="I99" s="279"/>
      <c r="J99" s="279"/>
      <c r="K99" s="279"/>
      <c r="L99" s="279"/>
      <c r="M99" s="279"/>
      <c r="N99" s="279"/>
      <c r="O99" s="278">
        <f>IF(E99="","",IF('Filtered Data'!$H$8="%.",(VLOOKUP(B99,'Filtered Data'!AE:AG,3,FALSE))/100,VLOOKUP(B99,'Filtered Data'!AE:AG,3,FALSE)))</f>
        <v>0.97699999999999998</v>
      </c>
      <c r="P99" s="278"/>
      <c r="Q99" s="278"/>
      <c r="R99" s="278"/>
      <c r="S99" s="185" t="str">
        <f>IF(E99="","",IF((VLOOKUP(E99,classifications!C:K,9,FALSE))="Sparse","S",""))</f>
        <v/>
      </c>
      <c r="U99" s="295" t="str">
        <f>IF('Filtered Data'!$D$1="MD","",IF('Filtered Data'!$D$1="SC","",IF('Filtered Data'!$D$1="UA",'Filtered Data'!AS18,'Filtered Data'!AL18)))</f>
        <v/>
      </c>
      <c r="V99" s="281"/>
      <c r="W99" s="281"/>
      <c r="X99" s="284" t="str">
        <f>IF(U99="","",IF('Filtered Data'!$D$1="UA",VLOOKUP(U99,'Filtered Data'!AS:AU,2,FALSE),VLOOKUP(U99,'Filtered Data'!AL:AN,2,FALSE)))</f>
        <v/>
      </c>
      <c r="Y99" s="284"/>
      <c r="Z99" s="284"/>
      <c r="AA99" s="284"/>
      <c r="AB99" s="284"/>
      <c r="AC99" s="284"/>
      <c r="AD99" s="284"/>
      <c r="AE99" s="284"/>
      <c r="AF99" s="284"/>
      <c r="AG99" s="284"/>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76">
        <v>9</v>
      </c>
      <c r="C100" s="277"/>
      <c r="D100" s="277"/>
      <c r="E100" s="279" t="str">
        <f>IF(ISNA(VLOOKUP(B100,'Filtered Data'!AE:AF,2,FALSE)),"",(VLOOKUP(B100,'Filtered Data'!AE:AF,2,FALSE)))</f>
        <v>Cheshire West &amp; Chester</v>
      </c>
      <c r="F100" s="279"/>
      <c r="G100" s="279"/>
      <c r="H100" s="279"/>
      <c r="I100" s="279"/>
      <c r="J100" s="279"/>
      <c r="K100" s="279"/>
      <c r="L100" s="279"/>
      <c r="M100" s="279"/>
      <c r="N100" s="279"/>
      <c r="O100" s="278">
        <f>IF(E100="","",IF('Filtered Data'!$H$8="%.",(VLOOKUP(B100,'Filtered Data'!AE:AG,3,FALSE))/100,VLOOKUP(B100,'Filtered Data'!AE:AG,3,FALSE)))</f>
        <v>0.97640000000000005</v>
      </c>
      <c r="P100" s="278"/>
      <c r="Q100" s="278"/>
      <c r="R100" s="278"/>
      <c r="S100" s="185" t="str">
        <f>IF(E100="","",IF((VLOOKUP(E100,classifications!C:K,9,FALSE))="Sparse","S",""))</f>
        <v>S</v>
      </c>
      <c r="U100" s="295" t="str">
        <f>IF('Filtered Data'!$D$1="MD","",IF('Filtered Data'!$D$1="SC","",IF('Filtered Data'!$D$1="UA",'Filtered Data'!AS19,'Filtered Data'!AL19)))</f>
        <v/>
      </c>
      <c r="V100" s="281"/>
      <c r="W100" s="281"/>
      <c r="X100" s="284" t="str">
        <f>IF(U100="","",IF('Filtered Data'!$D$1="UA",VLOOKUP(U100,'Filtered Data'!AS:AU,2,FALSE),VLOOKUP(U100,'Filtered Data'!AL:AN,2,FALSE)))</f>
        <v/>
      </c>
      <c r="Y100" s="284"/>
      <c r="Z100" s="284"/>
      <c r="AA100" s="284"/>
      <c r="AB100" s="284"/>
      <c r="AC100" s="284"/>
      <c r="AD100" s="284"/>
      <c r="AE100" s="284"/>
      <c r="AF100" s="284"/>
      <c r="AG100" s="284"/>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76">
        <v>10</v>
      </c>
      <c r="C101" s="277"/>
      <c r="D101" s="277"/>
      <c r="E101" s="279" t="str">
        <f>IF(ISNA(VLOOKUP(B101,'Filtered Data'!AE:AF,2,FALSE)),"",(VLOOKUP(B101,'Filtered Data'!AE:AF,2,FALSE)))</f>
        <v>York</v>
      </c>
      <c r="F101" s="279"/>
      <c r="G101" s="279"/>
      <c r="H101" s="279"/>
      <c r="I101" s="279"/>
      <c r="J101" s="279"/>
      <c r="K101" s="279"/>
      <c r="L101" s="279"/>
      <c r="M101" s="279"/>
      <c r="N101" s="279"/>
      <c r="O101" s="278">
        <f>IF(E101="","",IF('Filtered Data'!$H$8="%.",(VLOOKUP(B101,'Filtered Data'!AE:AG,3,FALSE))/100,VLOOKUP(B101,'Filtered Data'!AE:AG,3,FALSE)))</f>
        <v>0.9758</v>
      </c>
      <c r="P101" s="278"/>
      <c r="Q101" s="278"/>
      <c r="R101" s="278"/>
      <c r="S101" s="185" t="str">
        <f>IF(E101="","",IF((VLOOKUP(E101,classifications!C:K,9,FALSE))="Sparse","S",""))</f>
        <v/>
      </c>
      <c r="U101" s="295" t="str">
        <f>IF('Filtered Data'!$D$1="MD","",IF('Filtered Data'!$D$1="SC","",IF('Filtered Data'!$D$1="UA",'Filtered Data'!AS20,'Filtered Data'!AL20)))</f>
        <v/>
      </c>
      <c r="V101" s="281"/>
      <c r="W101" s="281"/>
      <c r="X101" s="284" t="str">
        <f>IF(U101="","",IF('Filtered Data'!$D$1="UA",VLOOKUP(U101,'Filtered Data'!AS:AU,2,FALSE),VLOOKUP(U101,'Filtered Data'!AL:AN,2,FALSE)))</f>
        <v/>
      </c>
      <c r="Y101" s="284"/>
      <c r="Z101" s="284"/>
      <c r="AA101" s="284"/>
      <c r="AB101" s="284"/>
      <c r="AC101" s="284"/>
      <c r="AD101" s="284"/>
      <c r="AE101" s="284"/>
      <c r="AF101" s="284"/>
      <c r="AG101" s="284"/>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76">
        <v>11</v>
      </c>
      <c r="C102" s="277"/>
      <c r="D102" s="277"/>
      <c r="E102" s="279" t="str">
        <f>IF(ISNA(VLOOKUP(B102,'Filtered Data'!AE:AF,2,FALSE)),"",(VLOOKUP(B102,'Filtered Data'!AE:AF,2,FALSE)))</f>
        <v>East Riding of Yorkshire</v>
      </c>
      <c r="F102" s="279"/>
      <c r="G102" s="279"/>
      <c r="H102" s="279"/>
      <c r="I102" s="279"/>
      <c r="J102" s="279"/>
      <c r="K102" s="279"/>
      <c r="L102" s="279"/>
      <c r="M102" s="279"/>
      <c r="N102" s="279"/>
      <c r="O102" s="278">
        <f>IF(E102="","",IF('Filtered Data'!$H$8="%.",(VLOOKUP(B102,'Filtered Data'!AE:AG,3,FALSE))/100,VLOOKUP(B102,'Filtered Data'!AE:AG,3,FALSE)))</f>
        <v>0.9758</v>
      </c>
      <c r="P102" s="278"/>
      <c r="Q102" s="278"/>
      <c r="R102" s="278"/>
      <c r="S102" s="185" t="str">
        <f>IF(E102="","",IF((VLOOKUP(E102,classifications!C:K,9,FALSE))="Sparse","S",""))</f>
        <v>S</v>
      </c>
      <c r="U102" s="295" t="str">
        <f>IF('Filtered Data'!$D$1="MD","",IF('Filtered Data'!$D$1="SC","",IF('Filtered Data'!$D$1="UA",'Filtered Data'!AS21,'Filtered Data'!AL21)))</f>
        <v/>
      </c>
      <c r="V102" s="281"/>
      <c r="W102" s="281"/>
      <c r="X102" s="284" t="str">
        <f>IF(U102="","",IF('Filtered Data'!$D$1="UA",VLOOKUP(U102,'Filtered Data'!AS:AU,2,FALSE),VLOOKUP(U102,'Filtered Data'!AL:AN,2,FALSE)))</f>
        <v/>
      </c>
      <c r="Y102" s="284"/>
      <c r="Z102" s="284"/>
      <c r="AA102" s="284"/>
      <c r="AB102" s="284"/>
      <c r="AC102" s="284"/>
      <c r="AD102" s="284"/>
      <c r="AE102" s="284"/>
      <c r="AF102" s="284"/>
      <c r="AG102" s="284"/>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76">
        <v>12</v>
      </c>
      <c r="C103" s="276"/>
      <c r="D103" s="276"/>
      <c r="E103" s="279" t="str">
        <f>IF(ISNA(VLOOKUP(B103,'Filtered Data'!AE:AF,2,FALSE)),"",(VLOOKUP(B103,'Filtered Data'!AE:AF,2,FALSE)))</f>
        <v>Bedford</v>
      </c>
      <c r="F103" s="279"/>
      <c r="G103" s="279"/>
      <c r="H103" s="279"/>
      <c r="I103" s="279"/>
      <c r="J103" s="279"/>
      <c r="K103" s="279"/>
      <c r="L103" s="279"/>
      <c r="M103" s="279"/>
      <c r="N103" s="279"/>
      <c r="O103" s="278">
        <f>IF(E103="","",IF('Filtered Data'!$H$8="%.",(VLOOKUP(B103,'Filtered Data'!AE:AG,3,FALSE))/100,VLOOKUP(B103,'Filtered Data'!AE:AG,3,FALSE)))</f>
        <v>0.97519999999999996</v>
      </c>
      <c r="P103" s="278"/>
      <c r="Q103" s="278"/>
      <c r="R103" s="278"/>
      <c r="S103" s="185" t="str">
        <f>IF(E103="","",IF((VLOOKUP(E103,classifications!C:K,9,FALSE))="Sparse","S",""))</f>
        <v/>
      </c>
      <c r="U103" s="295" t="str">
        <f>IF('Filtered Data'!$D$1="MD","",IF('Filtered Data'!$D$1="SC","",IF('Filtered Data'!$D$1="UA",'Filtered Data'!AS22,'Filtered Data'!AL22)))</f>
        <v/>
      </c>
      <c r="V103" s="281"/>
      <c r="W103" s="281"/>
      <c r="X103" s="284" t="str">
        <f>IF(U103="","",IF('Filtered Data'!$D$1="UA",VLOOKUP(U103,'Filtered Data'!AS:AU,2,FALSE),VLOOKUP(U103,'Filtered Data'!AL:AN,2,FALSE)))</f>
        <v/>
      </c>
      <c r="Y103" s="284"/>
      <c r="Z103" s="284"/>
      <c r="AA103" s="284"/>
      <c r="AB103" s="284"/>
      <c r="AC103" s="284"/>
      <c r="AD103" s="284"/>
      <c r="AE103" s="284"/>
      <c r="AF103" s="284"/>
      <c r="AG103" s="284"/>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76">
        <v>13</v>
      </c>
      <c r="C104" s="277"/>
      <c r="D104" s="277"/>
      <c r="E104" s="279" t="str">
        <f>IF(ISNA(VLOOKUP(B104,'Filtered Data'!AE:AF,2,FALSE)),"",(VLOOKUP(B104,'Filtered Data'!AE:AF,2,FALSE)))</f>
        <v>North Somerset</v>
      </c>
      <c r="F104" s="279"/>
      <c r="G104" s="279"/>
      <c r="H104" s="279"/>
      <c r="I104" s="279"/>
      <c r="J104" s="279"/>
      <c r="K104" s="279"/>
      <c r="L104" s="279"/>
      <c r="M104" s="279"/>
      <c r="N104" s="279"/>
      <c r="O104" s="278">
        <f>IF(E104="","",IF('Filtered Data'!$H$8="%.",(VLOOKUP(B104,'Filtered Data'!AE:AG,3,FALSE))/100,VLOOKUP(B104,'Filtered Data'!AE:AG,3,FALSE)))</f>
        <v>0.97470000000000001</v>
      </c>
      <c r="P104" s="278"/>
      <c r="Q104" s="278"/>
      <c r="R104" s="278"/>
      <c r="S104" s="185" t="str">
        <f>IF(E104="","",IF((VLOOKUP(E104,classifications!C:K,9,FALSE))="Sparse","S",""))</f>
        <v>S</v>
      </c>
      <c r="U104" s="295" t="str">
        <f>IF('Filtered Data'!$D$1="MD","",IF('Filtered Data'!$D$1="SC","",IF('Filtered Data'!$D$1="UA",'Filtered Data'!AS23,'Filtered Data'!AL23)))</f>
        <v/>
      </c>
      <c r="V104" s="281"/>
      <c r="W104" s="281"/>
      <c r="X104" s="284" t="str">
        <f>IF(U104="","",IF('Filtered Data'!$D$1="UA",VLOOKUP(U104,'Filtered Data'!AS:AU,2,FALSE),VLOOKUP(U104,'Filtered Data'!AL:AN,2,FALSE)))</f>
        <v/>
      </c>
      <c r="Y104" s="284"/>
      <c r="Z104" s="284"/>
      <c r="AA104" s="284"/>
      <c r="AB104" s="284"/>
      <c r="AC104" s="284"/>
      <c r="AD104" s="284"/>
      <c r="AE104" s="284"/>
      <c r="AF104" s="284"/>
      <c r="AG104" s="284"/>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76">
        <v>14</v>
      </c>
      <c r="C105" s="277"/>
      <c r="D105" s="277"/>
      <c r="E105" s="279" t="str">
        <f>IF(ISNA(VLOOKUP(B105,'Filtered Data'!AE:AF,2,FALSE)),"",(VLOOKUP(B105,'Filtered Data'!AE:AF,2,FALSE)))</f>
        <v>Central Bedfordshire</v>
      </c>
      <c r="F105" s="279"/>
      <c r="G105" s="279"/>
      <c r="H105" s="279"/>
      <c r="I105" s="279"/>
      <c r="J105" s="279"/>
      <c r="K105" s="279"/>
      <c r="L105" s="279"/>
      <c r="M105" s="279"/>
      <c r="N105" s="279"/>
      <c r="O105" s="278">
        <f>IF(E105="","",IF('Filtered Data'!$H$8="%.",(VLOOKUP(B105,'Filtered Data'!AE:AG,3,FALSE))/100,VLOOKUP(B105,'Filtered Data'!AE:AG,3,FALSE)))</f>
        <v>0.97400000000000009</v>
      </c>
      <c r="P105" s="278"/>
      <c r="Q105" s="278"/>
      <c r="R105" s="278"/>
      <c r="S105" s="185" t="str">
        <f>IF(E105="","",IF((VLOOKUP(E105,classifications!C:K,9,FALSE))="Sparse","S",""))</f>
        <v/>
      </c>
      <c r="U105" s="295" t="str">
        <f>IF('Filtered Data'!$D$1="MD","",IF('Filtered Data'!$D$1="SC","",IF('Filtered Data'!$D$1="UA",'Filtered Data'!AS24,'Filtered Data'!AL24)))</f>
        <v/>
      </c>
      <c r="V105" s="281"/>
      <c r="W105" s="281"/>
      <c r="X105" s="284" t="str">
        <f>IF(U105="","",IF('Filtered Data'!$D$1="UA",VLOOKUP(U105,'Filtered Data'!AS:AU,2,FALSE),VLOOKUP(U105,'Filtered Data'!AL:AN,2,FALSE)))</f>
        <v/>
      </c>
      <c r="Y105" s="284"/>
      <c r="Z105" s="284"/>
      <c r="AA105" s="284"/>
      <c r="AB105" s="284"/>
      <c r="AC105" s="284"/>
      <c r="AD105" s="284"/>
      <c r="AE105" s="284"/>
      <c r="AF105" s="284"/>
      <c r="AG105" s="284"/>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76">
        <v>15</v>
      </c>
      <c r="C106" s="277"/>
      <c r="D106" s="277"/>
      <c r="E106" s="279" t="str">
        <f>IF(ISNA(VLOOKUP(B106,'Filtered Data'!AE:AF,2,FALSE)),"",(VLOOKUP(B106,'Filtered Data'!AE:AF,2,FALSE)))</f>
        <v>Warrington</v>
      </c>
      <c r="F106" s="279"/>
      <c r="G106" s="279"/>
      <c r="H106" s="279"/>
      <c r="I106" s="279"/>
      <c r="J106" s="279"/>
      <c r="K106" s="279"/>
      <c r="L106" s="279"/>
      <c r="M106" s="279"/>
      <c r="N106" s="279"/>
      <c r="O106" s="278">
        <f>IF(E106="","",IF('Filtered Data'!$H$8="%.",(VLOOKUP(B106,'Filtered Data'!AE:AG,3,FALSE))/100,VLOOKUP(B106,'Filtered Data'!AE:AG,3,FALSE)))</f>
        <v>0.97219999999999995</v>
      </c>
      <c r="P106" s="278"/>
      <c r="Q106" s="278"/>
      <c r="R106" s="278"/>
      <c r="S106" s="185" t="str">
        <f>IF(E106="","",IF((VLOOKUP(E106,classifications!C:K,9,FALSE))="Sparse","S",""))</f>
        <v/>
      </c>
      <c r="U106" s="295" t="str">
        <f>IF('Filtered Data'!$D$1="MD","",IF('Filtered Data'!$D$1="SC","",IF('Filtered Data'!$D$1="UA",'Filtered Data'!AS25,'Filtered Data'!AL25)))</f>
        <v/>
      </c>
      <c r="V106" s="281"/>
      <c r="W106" s="281"/>
      <c r="X106" s="284" t="str">
        <f>IF(U106="","",IF('Filtered Data'!$D$1="UA",VLOOKUP(U106,'Filtered Data'!AS:AU,2,FALSE),VLOOKUP(U106,'Filtered Data'!AL:AN,2,FALSE)))</f>
        <v/>
      </c>
      <c r="Y106" s="284"/>
      <c r="Z106" s="284"/>
      <c r="AA106" s="284"/>
      <c r="AB106" s="284"/>
      <c r="AC106" s="284"/>
      <c r="AD106" s="284"/>
      <c r="AE106" s="284"/>
      <c r="AF106" s="284"/>
      <c r="AG106" s="284"/>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76">
        <v>16</v>
      </c>
      <c r="C107" s="277"/>
      <c r="D107" s="277"/>
      <c r="E107" s="279" t="str">
        <f>IF(ISNA(VLOOKUP(B107,'Filtered Data'!AE:AF,2,FALSE)),"",(VLOOKUP(B107,'Filtered Data'!AE:AF,2,FALSE)))</f>
        <v>Stockport</v>
      </c>
      <c r="F107" s="279"/>
      <c r="G107" s="279"/>
      <c r="H107" s="279"/>
      <c r="I107" s="279"/>
      <c r="J107" s="279"/>
      <c r="K107" s="279"/>
      <c r="L107" s="279"/>
      <c r="M107" s="279"/>
      <c r="N107" s="279"/>
      <c r="O107" s="278">
        <f>IF(E107="","",IF('Filtered Data'!$H$8="%.",(VLOOKUP(B107,'Filtered Data'!AE:AG,3,FALSE))/100,VLOOKUP(B107,'Filtered Data'!AE:AG,3,FALSE)))</f>
        <v>0.96599999999999997</v>
      </c>
      <c r="P107" s="278"/>
      <c r="Q107" s="278"/>
      <c r="R107" s="278"/>
      <c r="S107" s="185" t="str">
        <f>IF(E107="","",IF((VLOOKUP(E107,classifications!C:K,9,FALSE))="Sparse","S",""))</f>
        <v/>
      </c>
      <c r="U107" s="295" t="str">
        <f>IF('Filtered Data'!$D$1="MD","",IF('Filtered Data'!$D$1="SC","",IF('Filtered Data'!$D$1="UA",'Filtered Data'!AS26,'Filtered Data'!AL26)))</f>
        <v/>
      </c>
      <c r="V107" s="281"/>
      <c r="W107" s="281"/>
      <c r="X107" s="284" t="str">
        <f>IF(U107="","",IF('Filtered Data'!$D$1="UA",VLOOKUP(U107,'Filtered Data'!AS:AU,2,FALSE),VLOOKUP(U107,'Filtered Data'!AL:AN,2,FALSE)))</f>
        <v/>
      </c>
      <c r="Y107" s="284"/>
      <c r="Z107" s="284"/>
      <c r="AA107" s="284"/>
      <c r="AB107" s="284"/>
      <c r="AC107" s="284"/>
      <c r="AD107" s="284"/>
      <c r="AE107" s="284"/>
      <c r="AF107" s="284"/>
      <c r="AG107" s="284"/>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1"/>
      <c r="C108" s="281"/>
      <c r="D108" s="281"/>
      <c r="E108" s="288" t="s">
        <v>343</v>
      </c>
      <c r="F108" s="288"/>
      <c r="G108" s="288"/>
      <c r="H108" s="288"/>
      <c r="I108" s="288"/>
      <c r="J108" s="288"/>
      <c r="K108" s="288"/>
      <c r="L108" s="288"/>
      <c r="M108" s="288"/>
      <c r="N108" s="288"/>
      <c r="O108" s="294">
        <f>IF(ISERROR(AVERAGE(O92:O107)),"",AVERAGE(O92:O107))</f>
        <v>0.97796249999999996</v>
      </c>
      <c r="P108" s="294"/>
      <c r="Q108" s="294"/>
      <c r="R108" s="294"/>
      <c r="S108" s="185"/>
      <c r="U108" s="281"/>
      <c r="V108" s="281"/>
      <c r="W108" s="281"/>
      <c r="X108" s="24" t="str">
        <f>IF('Filtered Data'!D1="MD","",IF('Filtered Data'!D1="SC","","Average"))</f>
        <v>Average</v>
      </c>
      <c r="Y108" s="24"/>
      <c r="Z108" s="24"/>
      <c r="AA108" s="24"/>
      <c r="AB108" s="24"/>
      <c r="AC108" s="24"/>
      <c r="AD108" s="24"/>
      <c r="AE108" s="24"/>
      <c r="AF108" s="24"/>
      <c r="AG108" s="27"/>
      <c r="AH108" s="294">
        <f>L40</f>
        <v>0.96225000000000005</v>
      </c>
      <c r="AI108" s="294"/>
      <c r="AJ108" s="294"/>
      <c r="AK108" s="294"/>
      <c r="AP108" s="85"/>
    </row>
    <row r="109" spans="2:42" ht="12" customHeight="1">
      <c r="W109" s="22">
        <f>COUNT(U92:V107)</f>
        <v>6</v>
      </c>
    </row>
    <row r="110" spans="2:42" ht="19.5" customHeight="1">
      <c r="B110" s="296" t="str">
        <f>B3</f>
        <v>Council tax and NNDR collection rates</v>
      </c>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row>
    <row r="111" spans="2:42" ht="12" customHeight="1"/>
    <row r="112" spans="2:42" ht="12" customHeight="1">
      <c r="B112" s="288" t="s">
        <v>376</v>
      </c>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row>
    <row r="113" spans="2:40" ht="12" customHeight="1"/>
    <row r="114" spans="2:40" ht="12" customHeight="1">
      <c r="B114" s="290" t="str">
        <f>W6&amp;" - "&amp;W12</f>
        <v>Council tax collected by 31 March as a % of amount collectable - 2013-14</v>
      </c>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6"/>
    </row>
    <row r="115" spans="2:40" ht="12" customHeight="1">
      <c r="B115" s="292"/>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89">
        <f>IF('Filtered Data'!H8="..",L35,L35*100)</f>
        <v>98.05</v>
      </c>
      <c r="H118" s="289"/>
      <c r="I118" s="289"/>
      <c r="J118" s="289"/>
      <c r="K118" s="289"/>
      <c r="L118" s="6"/>
      <c r="M118" s="285">
        <f>K$48</f>
        <v>97.61</v>
      </c>
      <c r="N118" s="285"/>
      <c r="O118" s="285">
        <f>M$48</f>
        <v>97.09</v>
      </c>
      <c r="P118" s="285"/>
      <c r="Q118" s="285">
        <f>O$48</f>
        <v>95.31</v>
      </c>
      <c r="R118" s="28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89">
        <f>IF('Filtered Data'!H8="%%",(AVERAGEIF('Filtered Data'!AA$10:AA$500,$F119,'Filtered Data'!M$10:M$500))*100,(AVERAGEIF('Filtered Data'!AA$10:AA$500,$F119,'Filtered Data'!M$10:M$500)))</f>
        <v>97.14</v>
      </c>
      <c r="H119" s="289"/>
      <c r="I119" s="289"/>
      <c r="J119" s="289"/>
      <c r="K119" s="289"/>
      <c r="L119" s="6"/>
      <c r="M119" s="285">
        <f>K$48</f>
        <v>97.61</v>
      </c>
      <c r="N119" s="285"/>
      <c r="O119" s="285">
        <f>M$48</f>
        <v>97.09</v>
      </c>
      <c r="P119" s="285"/>
      <c r="Q119" s="285">
        <f>O$48</f>
        <v>95.31</v>
      </c>
      <c r="R119" s="28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89">
        <f>IF('Filtered Data'!H8="%%",(AVERAGEIF('Filtered Data'!AA$10:AA$500,$F120,'Filtered Data'!M$10:M$500))*100,(AVERAGEIF('Filtered Data'!AA$10:AA$500,$F120,'Filtered Data'!M$10:M$500)))</f>
        <v>96.095294117647072</v>
      </c>
      <c r="H120" s="289"/>
      <c r="I120" s="289"/>
      <c r="J120" s="289"/>
      <c r="K120" s="289"/>
      <c r="L120" s="6"/>
      <c r="M120" s="285">
        <f>K$48</f>
        <v>97.61</v>
      </c>
      <c r="N120" s="285"/>
      <c r="O120" s="285">
        <f>M$48</f>
        <v>97.09</v>
      </c>
      <c r="P120" s="285"/>
      <c r="Q120" s="285">
        <f>O$48</f>
        <v>95.31</v>
      </c>
      <c r="R120" s="28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89">
        <f>IF('Filtered Data'!H8="%%",(AVERAGEIF('Filtered Data'!AA$10:AA$500,$F121,'Filtered Data'!M$10:M$500))*100,(AVERAGEIF('Filtered Data'!AA$10:AA$500,$F121,'Filtered Data'!M$10:M$500)))</f>
        <v>97.51</v>
      </c>
      <c r="H121" s="289"/>
      <c r="I121" s="289"/>
      <c r="J121" s="289"/>
      <c r="K121" s="289"/>
      <c r="L121" s="6"/>
      <c r="M121" s="285">
        <f>K$48</f>
        <v>97.61</v>
      </c>
      <c r="N121" s="285"/>
      <c r="O121" s="285">
        <f>M$48</f>
        <v>97.09</v>
      </c>
      <c r="P121" s="285"/>
      <c r="Q121" s="285">
        <f>O$48</f>
        <v>95.31</v>
      </c>
      <c r="R121" s="28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9"/>
      <c r="H122" s="289"/>
      <c r="I122" s="289"/>
      <c r="J122" s="289"/>
      <c r="K122" s="289"/>
      <c r="L122" s="6"/>
      <c r="M122" s="285"/>
      <c r="N122" s="285"/>
      <c r="O122" s="285"/>
      <c r="P122" s="285"/>
      <c r="Q122" s="285"/>
      <c r="R122" s="28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9"/>
      <c r="H123" s="289"/>
      <c r="I123" s="289"/>
      <c r="J123" s="289"/>
      <c r="K123" s="289"/>
      <c r="L123" s="6"/>
      <c r="M123" s="285"/>
      <c r="N123" s="285"/>
      <c r="O123" s="285"/>
      <c r="P123" s="285"/>
      <c r="Q123" s="285"/>
      <c r="R123" s="28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9"/>
      <c r="H124" s="289"/>
      <c r="I124" s="289"/>
      <c r="J124" s="289"/>
      <c r="K124" s="289"/>
      <c r="L124" s="6"/>
      <c r="M124" s="285"/>
      <c r="N124" s="285"/>
      <c r="O124" s="285"/>
      <c r="P124" s="285"/>
      <c r="Q124" s="285"/>
      <c r="R124" s="28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Cheshire East</v>
      </c>
      <c r="F3" s="108" t="str">
        <f>VLOOKUP(D3,classifications!C:G,4,FALSE)</f>
        <v>UA</v>
      </c>
      <c r="G3" s="48" t="str">
        <f>VLOOKUP(D3,classifications!C:E,3,FALSE)</f>
        <v>North West</v>
      </c>
      <c r="H3" s="118" t="str">
        <f>VLOOKUP(D3,classifications!C:H,6,FALSE)</f>
        <v>Rural-50</v>
      </c>
      <c r="I3" s="48" t="str">
        <f>VLOOKUP(D3,classifications!C:J,8,FALSE)</f>
        <v>Unitary</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Council tax collected by 31 March as a % of amount collectable</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2013-14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99.29</v>
      </c>
      <c r="Q7" s="145">
        <f>IF(I8="A",MAX(N11:N363),MIN(N11:N363))</f>
        <v>93.09</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Cheshire East</v>
      </c>
      <c r="Q8" s="146">
        <f>VLOOKUP(D3,L11:N363,3,FALSE)</f>
        <v>98.05</v>
      </c>
      <c r="R8" s="147" t="str">
        <f>IF(I8="A",IF(Q8&gt;Q10,"Bottom",IF(Q8&gt;P10,"Third",IF(Q8&gt;O10,"Second","Top"))),IF(Q8&gt;=O10,"Top",IF(Q8&gt;=P10,"Second",IF(Q8&gt;=Q10,"Third","Bottom"))))</f>
        <v>Top</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0.96527818181818204</v>
      </c>
      <c r="N9" s="123"/>
      <c r="O9" s="126" t="s">
        <v>344</v>
      </c>
      <c r="P9" s="126" t="s">
        <v>355</v>
      </c>
      <c r="Q9" s="126" t="s">
        <v>356</v>
      </c>
      <c r="R9" s="128" t="s">
        <v>408</v>
      </c>
      <c r="S9" s="53"/>
      <c r="T9" s="233" t="s">
        <v>828</v>
      </c>
      <c r="U9" s="234">
        <f>IF($H$8="%.",(AVERAGE(U11:U363))/100,(AVERAGE(U11:U363)))</f>
        <v>0.97616666666666674</v>
      </c>
      <c r="V9" s="235"/>
      <c r="W9" s="235"/>
      <c r="X9" s="121" t="str">
        <f>"Lower Level Ranking for Authorites in "&amp;H3&amp;" &amp; are a "&amp;F3</f>
        <v>Lower Level Ranking for Authorites in Rural-50 &amp; are a UA</v>
      </c>
      <c r="Y9" s="123">
        <f>IF($H$8="%.",(AVERAGE(Y11:Y363))/100,(AVERAGE(Y11:Y363)))</f>
        <v>0.97581666666666667</v>
      </c>
      <c r="Z9" s="122"/>
      <c r="AA9" s="243" t="s">
        <v>384</v>
      </c>
      <c r="AB9" s="234">
        <f>IF($H$8="%.",(AVERAGE(AB11:AB363))/100,(AVERAGE(AB11:AB363)))</f>
        <v>0.97140000000000004</v>
      </c>
      <c r="AC9" s="244"/>
      <c r="AD9" s="244"/>
      <c r="AE9" s="54" t="s">
        <v>417</v>
      </c>
      <c r="AG9" s="123">
        <f>IF($H$8="%.",(AVERAGE(AG11:AG363))/100,(AVERAGE(AG11:AG363)))</f>
        <v>0.97796249999999996</v>
      </c>
      <c r="AI9" s="121" t="str">
        <f>"County Ranking &amp; Top Authorites in "&amp;I3&amp;" &amp; are a "&amp;F3</f>
        <v>County Ranking &amp; Top Authorites in Unitary &amp; are a UA</v>
      </c>
      <c r="AJ9" s="123">
        <f>IF($H$8="%.",(AVERAGE(AJ11:AJ363))/100,(AVERAGE(AJ11:AJ363)))</f>
        <v>0.96527818181818204</v>
      </c>
      <c r="AK9" s="122"/>
      <c r="AL9" s="70"/>
      <c r="AM9" s="31"/>
      <c r="AN9" s="31"/>
      <c r="AP9" s="121" t="str">
        <f>"Regional Ranking in for "&amp;F3</f>
        <v>Regional Ranking in for UA</v>
      </c>
      <c r="AQ9" s="123">
        <f>IF($H$8="%.",(AVERAGE(AQ11:AQ363))/100,(AVERAGE(AQ11:AQ363)))</f>
        <v>0.96225000000000005</v>
      </c>
      <c r="AR9" s="122"/>
      <c r="AS9" s="122"/>
      <c r="AT9" s="122"/>
      <c r="AU9" s="122"/>
      <c r="AV9" s="49"/>
      <c r="AW9" s="115"/>
      <c r="AX9" s="178" t="str">
        <f>Profile!$W$6</f>
        <v>Council tax collected by 31 March as a % of amount collectable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97.61</v>
      </c>
      <c r="P10" s="130">
        <f>QUARTILE(N:N,2)</f>
        <v>97.09</v>
      </c>
      <c r="Q10" s="130">
        <f>IF(I8="A",QUARTILE(N:N,3),QUARTILE(N:N,1))</f>
        <v>95.31</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2013-14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HLOOKUP($D$6,AX$10:ZX$363,ROW()-9,FALSE)</f>
        <v>97.51</v>
      </c>
      <c r="G11" s="105"/>
      <c r="H11" s="60" t="str">
        <f>IF(D11=$D$1,HLOOKUP($D$6,$AX$10:$ZZ$363,ROW()-9,FALSE),"")</f>
        <v/>
      </c>
      <c r="I11" s="112" t="str">
        <f>IF(H11="","",IF($I$8="A",(RANK(H11,H$11:H$363,1)+COUNTIF(H$11:H11,H11)-1),(RANK(H11,H$11:H$363)+COUNTIF(H$11:H11,H11)-1)))</f>
        <v/>
      </c>
      <c r="J11" s="58"/>
      <c r="K11" s="51">
        <v>1</v>
      </c>
      <c r="L11" s="59" t="str">
        <f>IF(K11="","",INDEX(C$11:C$363,MATCH(K11,I$11:I$363,0)))</f>
        <v>Wokingham</v>
      </c>
      <c r="M11" s="153">
        <f>IF(L11="","",IF(VLOOKUP(L11,C:D,2,FALSE)=$F$3,VLOOKUP(L11,C:H,6,FALSE),""))</f>
        <v>99.29</v>
      </c>
      <c r="N11" s="148">
        <f>IF(L11="","",IF($H$8="%%",M11*100,M11))</f>
        <v>99.29</v>
      </c>
      <c r="O11" s="131">
        <f>IF(I$8="A",IF(N11&gt;=$P$7,IF(N11&lt;=$O$10,N11,""),""),IF(N11&lt;=$P$7,IF(N11&gt;=$O$10,N11,""),""))</f>
        <v>99.29</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Large Urban</v>
      </c>
      <c r="Y11" s="49" t="str">
        <f>IF($D$1="UA",IF(X11="Rural-50",M11,IF(X11="Rural-80",M11,IF(X11="Significant Rural",M11,""))),IF($D$1="SD",IF(X11=$H$3,M11,"")))</f>
        <v/>
      </c>
      <c r="Z11" s="57" t="str">
        <f>IF(Y11="","",IF(I$8="A",(RANK(Y11,Y$11:Y$363,1)+COUNTIF(Y$11:Y11,Y11)-1),(RANK(Y11,Y$11:Y$363)+COUNTIF(Y$11:Y11,Y11)-1)))</f>
        <v/>
      </c>
      <c r="AA11" s="245" t="str">
        <f>IF(L11="","",VLOOKUP($L11,classifications!C:I,7,FALSE))</f>
        <v>Predominantly Urban</v>
      </c>
      <c r="AB11" s="239" t="str">
        <f>IF(AA11=$J$3,M11,"")</f>
        <v/>
      </c>
      <c r="AC11" s="239" t="str">
        <f>IF(AB11="","",IF($I$8="A",(RANK(AB11,AB$11:AB$363)+COUNTIF(AB$11:AB11,AB11)-1),(RANK(AB11,AB$11:AB$363,1)+COUNTIF(AB$11:AB11,AB11)-1)))</f>
        <v/>
      </c>
      <c r="AD11" s="239"/>
      <c r="AE11" s="71">
        <f>IF(I$8="A",(RANK(AG11,AG$11:AG$363,1)+COUNTIF(AG$11:AG11,AG11)-1),(RANK(AG11,AG$11:AG$363)+COUNTIF(AG$11:AG11,AG11)-1))</f>
        <v>6</v>
      </c>
      <c r="AF11" s="69" t="str">
        <f>'Filtered Data'!D3</f>
        <v>Cheshire East</v>
      </c>
      <c r="AG11" s="142">
        <f>VLOOKUP(Profile!$J$5,$C$11:$H$363,4,FALSE)</f>
        <v>98.05</v>
      </c>
      <c r="AH11" s="72">
        <f>AE11</f>
        <v>6</v>
      </c>
      <c r="AI11" s="61" t="str">
        <f>IF(L11="","",VLOOKUP($L11,classifications!$C:$J,8,FALSE))</f>
        <v>Unitary</v>
      </c>
      <c r="AJ11" s="62">
        <f t="shared" ref="AJ11:AJ74" si="0">IF(AI11=$I$3,M11,"")</f>
        <v>99.29</v>
      </c>
      <c r="AK11" s="57">
        <f>IF(AJ11="","",IF(I$8="A",(RANK(AJ11,AJ$11:AJ$363,1)+COUNTIF(AJ$11:AJ11,AJ11)-1),(RANK(AJ11,AJ$11:AJ$363)+COUNTIF(AJ$11:AJ11,AJ11)-1)))</f>
        <v>1</v>
      </c>
      <c r="AL11" s="57">
        <v>1</v>
      </c>
      <c r="AM11" s="31" t="str">
        <f>IF(ISNA(IF(AL11="","",INDEX(L$11:L$363,MATCH(AL11,AK$11:AK$363,0)))),"",(IF(AL11="","",INDEX(L$11:L$363,MATCH(AL11,AK$11:AK$363,0)))))</f>
        <v>Wokingham</v>
      </c>
      <c r="AN11" s="31">
        <f>(VLOOKUP(AM11,L:M,2,FALSE))</f>
        <v>99.29</v>
      </c>
      <c r="AP11" s="61" t="str">
        <f>IF(L11="","",VLOOKUP($L11,classifications!$C:$E,3,FALSE))</f>
        <v>South East</v>
      </c>
      <c r="AQ11" s="62" t="str">
        <f>IF(AP11=$G$3,$M11,"")</f>
        <v/>
      </c>
      <c r="AR11" s="57" t="str">
        <f>IF(AQ11="","",IF(I$8="A",(RANK(AQ11,AQ$11:AQ$363,1)+COUNTIF(AQ$11:AQ11,AQ11)-1),(RANK(AQ11,AQ$11:AQ$363)+COUNTIF(AQ$11:AQ11,AQ11)-1)))</f>
        <v/>
      </c>
      <c r="AS11" s="57">
        <v>1</v>
      </c>
      <c r="AT11" s="57" t="str">
        <f>IF(AS11="","",INDEX(L$11:L$363,MATCH(AS11,AR$11:AR$363,0)))</f>
        <v>Cheshire East</v>
      </c>
      <c r="AU11" s="62">
        <f>IF(AT11="","",VLOOKUP(AT11,L:M,2,FALSE))</f>
        <v>98.05</v>
      </c>
      <c r="AX11" s="44">
        <f>HLOOKUP($AX$9&amp;$AX$10,Data!$A$1:$ZZ$2000,(MATCH($C11,Data!$A$1:$A$2000,0)),FALSE)</f>
        <v>97.51</v>
      </c>
      <c r="AY11" s="156"/>
      <c r="AZ11" s="44"/>
    </row>
    <row r="12" spans="1:735">
      <c r="A12" s="84" t="str">
        <f>$D$1&amp;2</f>
        <v>UA2</v>
      </c>
      <c r="B12" s="85" t="str">
        <f>IF(ISERROR(VLOOKUP(A12,classifications!A:C,3,FALSE)),0,VLOOKUP(A12,classifications!A:C,3,FALSE))</f>
        <v>Cheshire West &amp; Chester</v>
      </c>
      <c r="C12" s="31" t="s">
        <v>6</v>
      </c>
      <c r="D12" s="49" t="str">
        <f>VLOOKUP($C12,classifications!$C:$J,4,FALSE)</f>
        <v>SD</v>
      </c>
      <c r="E12" s="49" t="str">
        <f>VLOOKUP(C12,classifications!C:K,9,FALSE)</f>
        <v>Sparse</v>
      </c>
      <c r="F12" s="59">
        <f t="shared" ref="F12:F74" si="1">HLOOKUP($D$6,AX$10:ZX$363,ROW()-9,FALSE)</f>
        <v>97.8</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Rutland</v>
      </c>
      <c r="M12" s="153">
        <f>IF(L12="","",IF(VLOOKUP(L12,C:D,2,FALSE)=$F$3,VLOOKUP(L12,C:H,6,FALSE),""))</f>
        <v>98.85</v>
      </c>
      <c r="N12" s="148">
        <f>IF(L12="","",IF($H$8="%%",M12*100,M12))</f>
        <v>98.85</v>
      </c>
      <c r="O12" s="131">
        <f t="shared" ref="O12:O74" si="3">IF(I$8="A",IF(N12&gt;=$P$7,IF(N12&lt;=$O$10,N12,""),""),IF(N12&lt;=$P$7,IF(N12&gt;=$O$10,N12,""),""))</f>
        <v>98.85</v>
      </c>
      <c r="P12" s="131" t="str">
        <f>IF(I$8="A",IF(N12&gt;$O$10,IF(N12&lt;=$P$10,N12,""),""),IF(N12&lt;$O$10,IF(N12&gt;=$P$10,N12,""),""))</f>
        <v/>
      </c>
      <c r="Q12" s="131" t="str">
        <f>IF(I$8="A",IF(N12&gt;$P$10,IF(N12&lt;=$Q$10,N12,""),""),IF(N12&lt;$P$10,IF(N12&gt;=$Q$10,N12,""),""))</f>
        <v/>
      </c>
      <c r="R12" s="127" t="str">
        <f>IF(I$8="A",IF(N12&gt;$Q$10,N12,""),IF(N12&lt;$Q$10,N12,""))</f>
        <v/>
      </c>
      <c r="S12" s="60" t="str">
        <f t="shared" ref="S12:S75" si="4">IF(L12=D$3,"u","")</f>
        <v/>
      </c>
      <c r="T12" s="231" t="str">
        <f>IF(L12="","",VLOOKUP(L12,classifications!C:K,9,FALSE))</f>
        <v>Sparse</v>
      </c>
      <c r="U12" s="238">
        <f t="shared" ref="U12:U42" si="5">IF(T12="Sparse",M12,"")</f>
        <v>98.85</v>
      </c>
      <c r="V12" s="239">
        <f>IF(U12="","",IF($I$8="A",(RANK(U12,U$11:U$363)+COUNTIF(U$11:U12,U12)-1),(RANK(U12,U$11:U$363,1)+COUNTIF(U$11:U12,U12)-1)))</f>
        <v>12</v>
      </c>
      <c r="W12" s="240"/>
      <c r="X12" s="61" t="str">
        <f>IF(L12="","",VLOOKUP($L12,classifications!$C:$J,6,FALSE))</f>
        <v>Rural-80</v>
      </c>
      <c r="Y12" s="49">
        <f t="shared" ref="Y12:Y75" si="6">IF($D$1="UA",IF(X12="Rural-50",M12,IF(X12="Rural-80",M12,IF(X12="Significant Rural",M12,""))),IF($D$1="SD",IF(X12=$H$3,M12,"")))</f>
        <v>98.85</v>
      </c>
      <c r="Z12" s="57">
        <f>IF(Y12="","",IF(I$8="A",(RANK(Y12,Y$11:Y$363,1)+COUNTIF(Y$11:Y12,Y12)-1),(RANK(Y12,Y$11:Y$363)+COUNTIF(Y$11:Y12,Y12)-1)))</f>
        <v>1</v>
      </c>
      <c r="AA12" s="245" t="str">
        <f>IF(L12="","",VLOOKUP($L12,classifications!C:I,7,FALSE))</f>
        <v>Predominantly Rural</v>
      </c>
      <c r="AB12" s="239">
        <f t="shared" ref="AB12:AB75" si="7">IF(AA12=$J$3,M12,"")</f>
        <v>98.85</v>
      </c>
      <c r="AC12" s="239">
        <f>IF(AB12="","",IF($I$8="A",(RANK(AB12,AB$11:AB$363)+COUNTIF(AB$11:AB12,AB12)-1),(RANK(AB12,AB$11:AB$363,1)+COUNTIF(AB$11:AB12,AB12)-1)))</f>
        <v>16</v>
      </c>
      <c r="AD12" s="239"/>
      <c r="AE12" s="71">
        <f>IF(I$8="A",(RANK(AG12,AG$11:AG$363,1)+COUNTIF(AG$11:AG12,AG12)-1),(RANK(AG12,AG$11:AG$363)+COUNTIF(AG$11:AG12,AG12)-1))</f>
        <v>9</v>
      </c>
      <c r="AF12" s="6" t="str">
        <f>VLOOKUP(Profile!$J$5,Families!$C:$R,2,FALSE)</f>
        <v>Cheshire West &amp; Chester</v>
      </c>
      <c r="AG12" s="143">
        <f>VLOOKUP(AF12,$C$11:$H$363,4,FALSE)</f>
        <v>97.64</v>
      </c>
      <c r="AH12" s="72">
        <f>AE12</f>
        <v>9</v>
      </c>
      <c r="AI12" s="61" t="str">
        <f>IF(L12="","",VLOOKUP($L12,classifications!$C:$J,8,FALSE))</f>
        <v>Unitary</v>
      </c>
      <c r="AJ12" s="62">
        <f t="shared" si="0"/>
        <v>98.85</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Rutland</v>
      </c>
      <c r="AN12" s="31">
        <f t="shared" ref="AN12:AN75" si="9">(VLOOKUP(AM12,L:M,2,FALSE))</f>
        <v>98.85</v>
      </c>
      <c r="AP12" s="61" t="str">
        <f>IF(L12="","",VLOOKUP($L12,classifications!$C:$E,3,FALSE))</f>
        <v>East Midlands</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Cheshire West &amp; Chester</v>
      </c>
      <c r="AU12" s="62">
        <f t="shared" ref="AU12:AU75" si="12">IF(AT12="","",VLOOKUP(AT12,L:M,2,FALSE))</f>
        <v>97.64</v>
      </c>
      <c r="AX12" s="44">
        <f>HLOOKUP($AX$9&amp;$AX$10,Data!$A$1:$ZZ$2000,(MATCH($C12,Data!$A$1:$A$2000,0)),FALSE)</f>
        <v>97.8</v>
      </c>
      <c r="AY12" s="156"/>
      <c r="AZ12" s="44"/>
    </row>
    <row r="13" spans="1:735">
      <c r="A13" s="84" t="str">
        <f>$D$1&amp;3</f>
        <v>UA3</v>
      </c>
      <c r="B13" s="85" t="str">
        <f>IF(ISERROR(VLOOKUP(A13,classifications!A:C,3,FALSE)),0,VLOOKUP(A13,classifications!A:C,3,FALSE))</f>
        <v>Cornwall</v>
      </c>
      <c r="C13" s="31" t="s">
        <v>7</v>
      </c>
      <c r="D13" s="49" t="str">
        <f>VLOOKUP($C13,classifications!$C:$J,4,FALSE)</f>
        <v>SD</v>
      </c>
      <c r="E13" s="49">
        <f>VLOOKUP(C13,classifications!C:K,9,FALSE)</f>
        <v>0</v>
      </c>
      <c r="F13" s="59">
        <f t="shared" si="1"/>
        <v>98.76</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Bath &amp; North East Somerset</v>
      </c>
      <c r="M13" s="153">
        <f>IF(L13="","",IF(VLOOKUP(L13,C:D,2,FALSE)=$F$3,VLOOKUP(L13,C:H,6,FALSE),""))</f>
        <v>98.78</v>
      </c>
      <c r="N13" s="148">
        <f>IF(L13="","",IF($H$8="%%",M13*100,M13))</f>
        <v>98.78</v>
      </c>
      <c r="O13" s="131">
        <f t="shared" si="3"/>
        <v>98.78</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Significant Rural</v>
      </c>
      <c r="Y13" s="49">
        <f t="shared" si="6"/>
        <v>98.78</v>
      </c>
      <c r="Z13" s="57">
        <f>IF(Y13="","",IF(I$8="A",(RANK(Y13,Y$11:Y$363,1)+COUNTIF(Y$11:Y13,Y13)-1),(RANK(Y13,Y$11:Y$363)+COUNTIF(Y$11:Y13,Y13)-1)))</f>
        <v>2</v>
      </c>
      <c r="AA13" s="245" t="str">
        <f>IF(L13="","",VLOOKUP($L13,classifications!C:I,7,FALSE))</f>
        <v>Significant Rural</v>
      </c>
      <c r="AB13" s="239" t="str">
        <f>IF(AA13=$J$3,M13,"")</f>
        <v/>
      </c>
      <c r="AC13" s="239" t="str">
        <f>IF(AB13="","",IF($I$8="A",(RANK(AB13,AB$11:AB$363)+COUNTIF(AB$11:AB13,AB13)-1),(RANK(AB13,AB$11:AB$363,1)+COUNTIF(AB$11:AB13,AB13)-1)))</f>
        <v/>
      </c>
      <c r="AD13" s="239"/>
      <c r="AE13" s="71">
        <f>IF(I$8="A",(RANK(AG13,AG$11:AG$363,1)+COUNTIF(AG$11:AG13,AG13)-1),(RANK(AG13,AG$11:AG$363)+COUNTIF(AG$11:AG13,AG13)-1))</f>
        <v>7</v>
      </c>
      <c r="AF13" s="6" t="str">
        <f>VLOOKUP(Profile!$J$5,Families!$C:$R,3,FALSE)</f>
        <v>Wiltshire</v>
      </c>
      <c r="AG13" s="143">
        <f>VLOOKUP(AF13,$C$11:$H$363,4,FALSE)</f>
        <v>97.76</v>
      </c>
      <c r="AH13" s="72">
        <f t="shared" ref="AH13:AH26" si="18">AE13</f>
        <v>7</v>
      </c>
      <c r="AI13" s="61" t="str">
        <f>IF(L13="","",VLOOKUP($L13,classifications!$C:$J,8,FALSE))</f>
        <v>Unitary</v>
      </c>
      <c r="AJ13" s="62">
        <f>IF(AI13=$I$3,M13,"")</f>
        <v>98.78</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Bath &amp; North East Somerset</v>
      </c>
      <c r="AN13" s="31">
        <f t="shared" si="9"/>
        <v>98.78</v>
      </c>
      <c r="AP13" s="61" t="str">
        <f>IF(L13="","",VLOOKUP($L13,classifications!$C:$E,3,FALSE))</f>
        <v>South West</v>
      </c>
      <c r="AQ13" s="62" t="str">
        <f t="shared" si="10"/>
        <v/>
      </c>
      <c r="AR13" s="57" t="str">
        <f>IF(AQ13="","",IF(I$8="A",(RANK(AQ13,AQ$11:AQ$363,1)+COUNTIF(AQ$11:AQ13,AQ13)-1),(RANK(AQ13,AQ$11:AQ$363)+COUNTIF(AQ$11:AQ13,AQ13)-1)))</f>
        <v/>
      </c>
      <c r="AS13" s="52">
        <f>IF(AS12="","",IF(AS12+1&gt;(COUNT(AQ$11:AQ$363)),"",AS12+1))</f>
        <v>3</v>
      </c>
      <c r="AT13" s="57" t="str">
        <f t="shared" si="11"/>
        <v>Warrington</v>
      </c>
      <c r="AU13" s="62">
        <f t="shared" si="12"/>
        <v>97.22</v>
      </c>
      <c r="AX13" s="44">
        <f>HLOOKUP($AX$9&amp;$AX$10,Data!$A$1:$ZZ$2000,(MATCH($C13,Data!$A$1:$A$2000,0)),FALSE)</f>
        <v>98.76</v>
      </c>
      <c r="AY13" s="156"/>
      <c r="AZ13" s="44"/>
    </row>
    <row r="14" spans="1:735">
      <c r="A14" s="84" t="str">
        <f>$D$1&amp;4</f>
        <v>UA4</v>
      </c>
      <c r="B14" s="85" t="str">
        <f>IF(ISERROR(VLOOKUP(A14,classifications!A:C,3,FALSE)),0,VLOOKUP(A14,classifications!A:C,3,FALSE))</f>
        <v>Durham</v>
      </c>
      <c r="C14" s="31" t="s">
        <v>8</v>
      </c>
      <c r="D14" s="49" t="str">
        <f>VLOOKUP($C14,classifications!$C:$J,4,FALSE)</f>
        <v>SD</v>
      </c>
      <c r="E14" s="49">
        <f>VLOOKUP(C14,classifications!C:K,9,FALSE)</f>
        <v>0</v>
      </c>
      <c r="F14" s="59">
        <f t="shared" si="1"/>
        <v>98.27</v>
      </c>
      <c r="G14" s="105"/>
      <c r="H14" s="60" t="str">
        <f t="shared" si="2"/>
        <v/>
      </c>
      <c r="I14" s="112" t="str">
        <f>IF(H14="","",IF($I$8="A",(RANK(H14,H$11:H$363,1)+COUNTIF(H$11:H14,H14)-1),(RANK(H14,H$11:H$363)+COUNTIF(H$11:H14,H14)-1)))</f>
        <v/>
      </c>
      <c r="J14" s="58"/>
      <c r="K14" s="51">
        <f t="shared" si="13"/>
        <v>4</v>
      </c>
      <c r="L14" s="59" t="str">
        <f t="shared" si="14"/>
        <v>Thurrock</v>
      </c>
      <c r="M14" s="153">
        <f t="shared" ref="M14:M75" si="20">IF(L14="","",IF(VLOOKUP(L14,C:D,2,FALSE)=$F$3,VLOOKUP(L14,C:H,6,FALSE),""))</f>
        <v>98.54</v>
      </c>
      <c r="N14" s="148">
        <f t="shared" ref="N14:N75" si="21">IF(L14="","",IF($H$8="%%",M14*100,M14))</f>
        <v>98.54</v>
      </c>
      <c r="O14" s="131">
        <f t="shared" si="3"/>
        <v>98.54</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Other Urban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2</v>
      </c>
      <c r="AF14" s="6" t="str">
        <f>VLOOKUP(Profile!$J$5,Families!$C:$R,4,FALSE)</f>
        <v>Solihull</v>
      </c>
      <c r="AG14" s="143">
        <f t="shared" ref="AG14:AG26" si="22">VLOOKUP(AF14,$C$11:$H$363,4,FALSE)</f>
        <v>98.58</v>
      </c>
      <c r="AH14" s="72">
        <f t="shared" si="18"/>
        <v>2</v>
      </c>
      <c r="AI14" s="61" t="str">
        <f>IF(L14="","",VLOOKUP($L14,classifications!$C:$J,8,FALSE))</f>
        <v>Unitary</v>
      </c>
      <c r="AJ14" s="62">
        <f t="shared" si="0"/>
        <v>98.54</v>
      </c>
      <c r="AK14" s="57">
        <f>IF(AJ14="","",IF(I$8="A",(RANK(AJ14,AJ$11:AJ$363,1)+COUNTIF(AJ$11:AJ14,AJ14)-1),(RANK(AJ14,AJ$11:AJ$363)+COUNTIF(AJ$11:AJ14,AJ14)-1)))</f>
        <v>4</v>
      </c>
      <c r="AL14" s="52">
        <f t="shared" si="19"/>
        <v>4</v>
      </c>
      <c r="AM14" s="31" t="str">
        <f t="shared" si="8"/>
        <v>Thurrock</v>
      </c>
      <c r="AN14" s="31">
        <f t="shared" si="9"/>
        <v>98.54</v>
      </c>
      <c r="AP14" s="61" t="str">
        <f>IF(L14="","",VLOOKUP($L14,classifications!$C:$E,3,FALSE))</f>
        <v>East of England</v>
      </c>
      <c r="AQ14" s="62" t="str">
        <f t="shared" si="10"/>
        <v/>
      </c>
      <c r="AR14" s="57" t="str">
        <f>IF(AQ14="","",IF(I$8="A",(RANK(AQ14,AQ$11:AQ$363,1)+COUNTIF(AQ$11:AQ14,AQ14)-1),(RANK(AQ14,AQ$11:AQ$363)+COUNTIF(AQ$11:AQ14,AQ14)-1)))</f>
        <v/>
      </c>
      <c r="AS14" s="52">
        <f t="shared" ref="AS14:AS75" si="23">IF(AS13="","",IF(AS13+1&gt;(COUNT(AQ$11:AQ$363)),"",AS13+1))</f>
        <v>4</v>
      </c>
      <c r="AT14" s="57" t="str">
        <f t="shared" si="11"/>
        <v>Halton</v>
      </c>
      <c r="AU14" s="62">
        <f t="shared" si="12"/>
        <v>95.8</v>
      </c>
      <c r="AX14" s="44">
        <f>HLOOKUP($AX$9&amp;$AX$10,Data!$A$1:$ZZ$2000,(MATCH($C14,Data!$A$1:$A$2000,0)),FALSE)</f>
        <v>98.27</v>
      </c>
      <c r="AY14" s="156"/>
      <c r="AZ14" s="44"/>
    </row>
    <row r="15" spans="1:735">
      <c r="A15" s="84" t="str">
        <f>$D$1&amp;5</f>
        <v>UA5</v>
      </c>
      <c r="B15" s="85" t="str">
        <f>IF(ISERROR(VLOOKUP(A15,classifications!A:C,3,FALSE)),0,VLOOKUP(A15,classifications!A:C,3,FALSE))</f>
        <v>East Riding of Yorkshire</v>
      </c>
      <c r="C15" s="31" t="s">
        <v>9</v>
      </c>
      <c r="D15" s="49" t="str">
        <f>VLOOKUP($C15,classifications!$C:$J,4,FALSE)</f>
        <v>SD</v>
      </c>
      <c r="E15" s="49">
        <f>VLOOKUP(C15,classifications!C:K,9,FALSE)</f>
        <v>0</v>
      </c>
      <c r="F15" s="59">
        <f t="shared" si="1"/>
        <v>97.12</v>
      </c>
      <c r="G15" s="105"/>
      <c r="H15" s="60" t="str">
        <f t="shared" si="2"/>
        <v/>
      </c>
      <c r="I15" s="112" t="str">
        <f>IF(H15="","",IF($I$8="A",(RANK(H15,H$11:H$363,1)+COUNTIF(H$11:H15,H15)-1),(RANK(H15,H$11:H$363)+COUNTIF(H$11:H15,H15)-1)))</f>
        <v/>
      </c>
      <c r="J15" s="58"/>
      <c r="K15" s="51">
        <f t="shared" si="13"/>
        <v>5</v>
      </c>
      <c r="L15" s="59" t="str">
        <f t="shared" si="14"/>
        <v>Herefordshire</v>
      </c>
      <c r="M15" s="153">
        <f t="shared" si="20"/>
        <v>98.4</v>
      </c>
      <c r="N15" s="148">
        <f t="shared" si="21"/>
        <v>98.4</v>
      </c>
      <c r="O15" s="131">
        <f t="shared" si="3"/>
        <v>98.4</v>
      </c>
      <c r="P15" s="131" t="str">
        <f t="shared" si="15"/>
        <v/>
      </c>
      <c r="Q15" s="131" t="str">
        <f t="shared" si="16"/>
        <v/>
      </c>
      <c r="R15" s="127" t="str">
        <f t="shared" si="17"/>
        <v/>
      </c>
      <c r="S15" s="60" t="str">
        <f t="shared" si="4"/>
        <v/>
      </c>
      <c r="T15" s="231" t="str">
        <f>IF(L15="","",VLOOKUP(L15,classifications!C:K,9,FALSE))</f>
        <v>Sparse</v>
      </c>
      <c r="U15" s="238">
        <f t="shared" si="5"/>
        <v>98.4</v>
      </c>
      <c r="V15" s="239">
        <f>IF(U15="","",IF($I$8="A",(RANK(U15,U$11:U$363)+COUNTIF(U$11:U15,U15)-1),(RANK(U15,U$11:U$363,1)+COUNTIF(U$11:U15,U15)-1)))</f>
        <v>11</v>
      </c>
      <c r="W15" s="240"/>
      <c r="X15" s="61" t="str">
        <f>IF(L15="","",VLOOKUP($L15,classifications!$C:$J,6,FALSE))</f>
        <v>Rural-50</v>
      </c>
      <c r="Y15" s="49">
        <f t="shared" si="6"/>
        <v>98.4</v>
      </c>
      <c r="Z15" s="57">
        <f>IF(Y15="","",IF(I$8="A",(RANK(Y15,Y$11:Y$363,1)+COUNTIF(Y$11:Y15,Y15)-1),(RANK(Y15,Y$11:Y$363)+COUNTIF(Y$11:Y15,Y15)-1)))</f>
        <v>3</v>
      </c>
      <c r="AA15" s="245" t="str">
        <f>IF(L15="","",VLOOKUP($L15,classifications!C:I,7,FALSE))</f>
        <v>Predominantly Rural</v>
      </c>
      <c r="AB15" s="239">
        <f t="shared" si="7"/>
        <v>98.4</v>
      </c>
      <c r="AC15" s="239">
        <f>IF(AB15="","",IF($I$8="A",(RANK(AB15,AB$11:AB$363)+COUNTIF(AB$11:AB15,AB15)-1),(RANK(AB15,AB$11:AB$363,1)+COUNTIF(AB$11:AB15,AB15)-1)))</f>
        <v>15</v>
      </c>
      <c r="AD15" s="239"/>
      <c r="AE15" s="71">
        <f>IF(I$8="A",(RANK(AG15,AG$11:AG$363,1)+COUNTIF(AG$11:AG15,AG15)-1),(RANK(AG15,AG$11:AG$363)+COUNTIF(AG$11:AG15,AG15)-1))</f>
        <v>1</v>
      </c>
      <c r="AF15" s="6" t="str">
        <f>VLOOKUP(Profile!$J$5,Families!$C:$R,5,FALSE)</f>
        <v>Bath &amp; North East Somerset</v>
      </c>
      <c r="AG15" s="143">
        <f t="shared" si="22"/>
        <v>98.78</v>
      </c>
      <c r="AH15" s="72">
        <f t="shared" si="18"/>
        <v>1</v>
      </c>
      <c r="AI15" s="61" t="str">
        <f>IF(L15="","",VLOOKUP($L15,classifications!$C:$J,8,FALSE))</f>
        <v>Unitary</v>
      </c>
      <c r="AJ15" s="62">
        <f t="shared" si="0"/>
        <v>98.4</v>
      </c>
      <c r="AK15" s="57">
        <f>IF(AJ15="","",IF(I$8="A",(RANK(AJ15,AJ$11:AJ$363,1)+COUNTIF(AJ$11:AJ15,AJ15)-1),(RANK(AJ15,AJ$11:AJ$363)+COUNTIF(AJ$11:AJ15,AJ15)-1)))</f>
        <v>5</v>
      </c>
      <c r="AL15" s="52">
        <f t="shared" si="19"/>
        <v>5</v>
      </c>
      <c r="AM15" s="31" t="str">
        <f>IF(ISNA(IF(AL15="","",INDEX(L$11:L$363,MATCH(AL15,AK$11:AK$363,0)))),"",(IF(AL15="","",INDEX(L$11:L$363,MATCH(AL15,AK$11:AK$363,0)))))</f>
        <v>Herefordshire</v>
      </c>
      <c r="AN15" s="31">
        <f t="shared" si="9"/>
        <v>98.4</v>
      </c>
      <c r="AP15" s="61" t="str">
        <f>IF(L15="","",VLOOKUP($L15,classifications!$C:$E,3,FALSE))</f>
        <v>West Midlands</v>
      </c>
      <c r="AQ15" s="62" t="str">
        <f t="shared" si="10"/>
        <v/>
      </c>
      <c r="AR15" s="57" t="str">
        <f>IF(AQ15="","",IF(I$8="A",(RANK(AQ15,AQ$11:AQ$363,1)+COUNTIF(AQ$11:AQ15,AQ15)-1),(RANK(AQ15,AQ$11:AQ$363)+COUNTIF(AQ$11:AQ15,AQ15)-1)))</f>
        <v/>
      </c>
      <c r="AS15" s="52">
        <f t="shared" si="23"/>
        <v>5</v>
      </c>
      <c r="AT15" s="57" t="str">
        <f t="shared" si="11"/>
        <v>Blackburn with Darwen</v>
      </c>
      <c r="AU15" s="62">
        <f t="shared" si="12"/>
        <v>95.55</v>
      </c>
      <c r="AX15" s="44">
        <f>HLOOKUP($AX$9&amp;$AX$10,Data!$A$1:$ZZ$2000,(MATCH($C15,Data!$A$1:$A$2000,0)),FALSE)</f>
        <v>97.12</v>
      </c>
      <c r="AY15" s="156"/>
      <c r="AZ15" s="44"/>
    </row>
    <row r="16" spans="1:735">
      <c r="A16" s="84" t="str">
        <f>$D$1&amp;6</f>
        <v>UA6</v>
      </c>
      <c r="B16" s="85" t="str">
        <f>IF(ISERROR(VLOOKUP(A16,classifications!A:C,3,FALSE)),0,VLOOKUP(A16,classifications!A:C,3,FALSE))</f>
        <v>Herefordshire</v>
      </c>
      <c r="C16" s="31" t="s">
        <v>10</v>
      </c>
      <c r="D16" s="49" t="str">
        <f>VLOOKUP($C16,classifications!$C:$J,4,FALSE)</f>
        <v>SD</v>
      </c>
      <c r="E16" s="49" t="str">
        <f>VLOOKUP(C16,classifications!C:K,9,FALSE)</f>
        <v>Sparse</v>
      </c>
      <c r="F16" s="59">
        <f t="shared" si="1"/>
        <v>98.4</v>
      </c>
      <c r="G16" s="105"/>
      <c r="H16" s="60" t="str">
        <f t="shared" si="2"/>
        <v/>
      </c>
      <c r="I16" s="112" t="str">
        <f>IF(H16="","",IF($I$8="A",(RANK(H16,H$11:H$363,1)+COUNTIF(H$11:H16,H16)-1),(RANK(H16,H$11:H$363)+COUNTIF(H$11:H16,H16)-1)))</f>
        <v/>
      </c>
      <c r="J16" s="58"/>
      <c r="K16" s="51">
        <f t="shared" si="13"/>
        <v>6</v>
      </c>
      <c r="L16" s="59" t="str">
        <f t="shared" si="14"/>
        <v>South Gloucestershire</v>
      </c>
      <c r="M16" s="153">
        <f t="shared" si="20"/>
        <v>98.36</v>
      </c>
      <c r="N16" s="148">
        <f t="shared" si="21"/>
        <v>98.36</v>
      </c>
      <c r="O16" s="131">
        <f t="shared" si="3"/>
        <v>98.36</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Large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16</v>
      </c>
      <c r="AF16" s="6" t="str">
        <f>VLOOKUP(Profile!$J$5,Families!$C:$R,6,FALSE)</f>
        <v>Stockport</v>
      </c>
      <c r="AG16" s="143">
        <f t="shared" si="22"/>
        <v>96.6</v>
      </c>
      <c r="AH16" s="72">
        <f t="shared" si="18"/>
        <v>16</v>
      </c>
      <c r="AI16" s="61" t="str">
        <f>IF(L16="","",VLOOKUP($L16,classifications!$C:$J,8,FALSE))</f>
        <v>Unitary</v>
      </c>
      <c r="AJ16" s="62">
        <f t="shared" si="0"/>
        <v>98.36</v>
      </c>
      <c r="AK16" s="57">
        <f>IF(AJ16="","",IF(I$8="A",(RANK(AJ16,AJ$11:AJ$363,1)+COUNTIF(AJ$11:AJ16,AJ16)-1),(RANK(AJ16,AJ$11:AJ$363)+COUNTIF(AJ$11:AJ16,AJ16)-1)))</f>
        <v>6</v>
      </c>
      <c r="AL16" s="52">
        <f t="shared" si="19"/>
        <v>6</v>
      </c>
      <c r="AM16" s="31" t="str">
        <f t="shared" si="8"/>
        <v>South Gloucestershire</v>
      </c>
      <c r="AN16" s="31">
        <f t="shared" si="9"/>
        <v>98.36</v>
      </c>
      <c r="AP16" s="61" t="str">
        <f>IF(L16="","",VLOOKUP($L16,classifications!$C:$E,3,FALSE))</f>
        <v>South West</v>
      </c>
      <c r="AQ16" s="62" t="str">
        <f t="shared" si="10"/>
        <v/>
      </c>
      <c r="AR16" s="57" t="str">
        <f>IF(AQ16="","",IF(I$8="A",(RANK(AQ16,AQ$11:AQ$363,1)+COUNTIF(AQ$11:AQ16,AQ16)-1),(RANK(AQ16,AQ$11:AQ$363)+COUNTIF(AQ$11:AQ16,AQ16)-1)))</f>
        <v/>
      </c>
      <c r="AS16" s="52">
        <f t="shared" si="23"/>
        <v>6</v>
      </c>
      <c r="AT16" s="57" t="str">
        <f t="shared" si="11"/>
        <v>Blackpool</v>
      </c>
      <c r="AU16" s="62">
        <f t="shared" si="12"/>
        <v>93.09</v>
      </c>
      <c r="AX16" s="44">
        <f>HLOOKUP($AX$9&amp;$AX$10,Data!$A$1:$ZZ$2000,(MATCH($C16,Data!$A$1:$A$2000,0)),FALSE)</f>
        <v>98.4</v>
      </c>
      <c r="AY16" s="156"/>
      <c r="AZ16" s="44"/>
    </row>
    <row r="17" spans="1:52">
      <c r="A17" s="84" t="str">
        <f>$D$1&amp;7</f>
        <v>UA7</v>
      </c>
      <c r="B17" s="85" t="str">
        <f>IF(ISERROR(VLOOKUP(A17,classifications!A:C,3,FALSE)),0,VLOOKUP(A17,classifications!A:C,3,FALSE))</f>
        <v>Isle of Wight</v>
      </c>
      <c r="C17" s="31" t="s">
        <v>11</v>
      </c>
      <c r="D17" s="49" t="str">
        <f>VLOOKUP($C17,classifications!$C:$J,4,FALSE)</f>
        <v>SD</v>
      </c>
      <c r="E17" s="49" t="str">
        <f>VLOOKUP(C17,classifications!C:K,9,FALSE)</f>
        <v>Sparse</v>
      </c>
      <c r="F17" s="59">
        <f t="shared" si="1"/>
        <v>98.63</v>
      </c>
      <c r="G17" s="105"/>
      <c r="H17" s="60" t="str">
        <f t="shared" si="2"/>
        <v/>
      </c>
      <c r="I17" s="112" t="str">
        <f>IF(H17="","",IF($I$8="A",(RANK(H17,H$11:H$363,1)+COUNTIF(H$11:H17,H17)-1),(RANK(H17,H$11:H$363)+COUNTIF(H$11:H17,H17)-1)))</f>
        <v/>
      </c>
      <c r="J17" s="58"/>
      <c r="K17" s="51">
        <f t="shared" si="13"/>
        <v>7</v>
      </c>
      <c r="L17" s="59" t="str">
        <f t="shared" si="14"/>
        <v>West Berkshire</v>
      </c>
      <c r="M17" s="153">
        <f t="shared" si="20"/>
        <v>98.25</v>
      </c>
      <c r="N17" s="148">
        <f t="shared" si="21"/>
        <v>98.25</v>
      </c>
      <c r="O17" s="131">
        <f t="shared" si="3"/>
        <v>98.25</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Significant Rural</v>
      </c>
      <c r="Y17" s="49">
        <f t="shared" si="6"/>
        <v>98.25</v>
      </c>
      <c r="Z17" s="57">
        <f>IF(Y17="","",IF(I$8="A",(RANK(Y17,Y$11:Y$363,1)+COUNTIF(Y$11:Y17,Y17)-1),(RANK(Y17,Y$11:Y$363)+COUNTIF(Y$11:Y17,Y17)-1)))</f>
        <v>4</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14</v>
      </c>
      <c r="AF17" s="6" t="str">
        <f>VLOOKUP(Profile!$J$5,Families!$C:$R,7,FALSE)</f>
        <v>Central Bedfordshire</v>
      </c>
      <c r="AG17" s="143">
        <f t="shared" si="22"/>
        <v>97.4</v>
      </c>
      <c r="AH17" s="72">
        <f t="shared" si="18"/>
        <v>14</v>
      </c>
      <c r="AI17" s="61" t="str">
        <f>IF(L17="","",VLOOKUP($L17,classifications!$C:$J,8,FALSE))</f>
        <v>Unitary</v>
      </c>
      <c r="AJ17" s="62">
        <f t="shared" si="0"/>
        <v>98.25</v>
      </c>
      <c r="AK17" s="57">
        <f>IF(AJ17="","",IF(I$8="A",(RANK(AJ17,AJ$11:AJ$363,1)+COUNTIF(AJ$11:AJ17,AJ17)-1),(RANK(AJ17,AJ$11:AJ$363)+COUNTIF(AJ$11:AJ17,AJ17)-1)))</f>
        <v>7</v>
      </c>
      <c r="AL17" s="52">
        <f t="shared" si="19"/>
        <v>7</v>
      </c>
      <c r="AM17" s="31" t="str">
        <f t="shared" si="8"/>
        <v>West Berkshire</v>
      </c>
      <c r="AN17" s="31">
        <f t="shared" si="9"/>
        <v>98.25</v>
      </c>
      <c r="AP17" s="61" t="str">
        <f>IF(L17="","",VLOOKUP($L17,classifications!$C:$E,3,FALSE))</f>
        <v>South East</v>
      </c>
      <c r="AQ17" s="62" t="str">
        <f t="shared" si="10"/>
        <v/>
      </c>
      <c r="AR17" s="57" t="str">
        <f>IF(AQ17="","",IF(I$8="A",(RANK(AQ17,AQ$11:AQ$363,1)+COUNTIF(AQ$11:AQ17,AQ17)-1),(RANK(AQ17,AQ$11:AQ$363)+COUNTIF(AQ$11:AQ17,AQ17)-1)))</f>
        <v/>
      </c>
      <c r="AS17" s="52" t="str">
        <f t="shared" si="23"/>
        <v/>
      </c>
      <c r="AT17" s="57" t="str">
        <f t="shared" si="11"/>
        <v/>
      </c>
      <c r="AU17" s="62" t="str">
        <f t="shared" si="12"/>
        <v/>
      </c>
      <c r="AX17" s="44">
        <f>HLOOKUP($AX$9&amp;$AX$10,Data!$A$1:$ZZ$2000,(MATCH($C17,Data!$A$1:$A$2000,0)),FALSE)</f>
        <v>98.63</v>
      </c>
      <c r="AY17" s="156"/>
      <c r="AZ17" s="44"/>
    </row>
    <row r="18" spans="1:52">
      <c r="A18" s="84" t="str">
        <f>$D$1&amp;8</f>
        <v>UA8</v>
      </c>
      <c r="B18" s="85" t="str">
        <f>IF(ISERROR(VLOOKUP(A18,classifications!A:C,3,FALSE)),0,VLOOKUP(A18,classifications!A:C,3,FALSE))</f>
        <v>North Lincolnshire</v>
      </c>
      <c r="C18" s="31" t="s">
        <v>12</v>
      </c>
      <c r="D18" s="49" t="str">
        <f>VLOOKUP($C18,classifications!$C:$J,4,FALSE)</f>
        <v>SD</v>
      </c>
      <c r="E18" s="49" t="str">
        <f>VLOOKUP(C18,classifications!C:K,9,FALSE)</f>
        <v>Sparse</v>
      </c>
      <c r="F18" s="59">
        <f t="shared" si="1"/>
        <v>98.19</v>
      </c>
      <c r="G18" s="105"/>
      <c r="H18" s="60" t="str">
        <f t="shared" si="2"/>
        <v/>
      </c>
      <c r="I18" s="112" t="str">
        <f>IF(H18="","",IF($I$8="A",(RANK(H18,H$11:H$363,1)+COUNTIF(H$11:H18,H18)-1),(RANK(H18,H$11:H$363)+COUNTIF(H$11:H18,H18)-1)))</f>
        <v/>
      </c>
      <c r="J18" s="58"/>
      <c r="K18" s="51">
        <f t="shared" si="13"/>
        <v>8</v>
      </c>
      <c r="L18" s="59" t="str">
        <f t="shared" si="14"/>
        <v>Poole</v>
      </c>
      <c r="M18" s="153">
        <f t="shared" si="20"/>
        <v>98.12</v>
      </c>
      <c r="N18" s="148">
        <f t="shared" si="21"/>
        <v>98.12</v>
      </c>
      <c r="O18" s="131">
        <f t="shared" si="3"/>
        <v>98.12</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Large Urban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5</v>
      </c>
      <c r="AF18" s="6" t="str">
        <f>VLOOKUP(Profile!$J$5,Families!$C:$R,8,FALSE)</f>
        <v>Shropshire</v>
      </c>
      <c r="AG18" s="143">
        <f t="shared" si="22"/>
        <v>98.1</v>
      </c>
      <c r="AH18" s="72">
        <f t="shared" si="18"/>
        <v>5</v>
      </c>
      <c r="AI18" s="61" t="str">
        <f>IF(L18="","",VLOOKUP($L18,classifications!$C:$J,8,FALSE))</f>
        <v>Unitary</v>
      </c>
      <c r="AJ18" s="62">
        <f t="shared" si="0"/>
        <v>98.12</v>
      </c>
      <c r="AK18" s="57">
        <f>IF(AJ18="","",IF(I$8="A",(RANK(AJ18,AJ$11:AJ$363,1)+COUNTIF(AJ$11:AJ18,AJ18)-1),(RANK(AJ18,AJ$11:AJ$363)+COUNTIF(AJ$11:AJ18,AJ18)-1)))</f>
        <v>8</v>
      </c>
      <c r="AL18" s="52">
        <f t="shared" si="19"/>
        <v>8</v>
      </c>
      <c r="AM18" s="31" t="str">
        <f t="shared" si="8"/>
        <v>Poole</v>
      </c>
      <c r="AN18" s="31">
        <f t="shared" si="9"/>
        <v>98.12</v>
      </c>
      <c r="AP18" s="61" t="str">
        <f>IF(L18="","",VLOOKUP($L18,classifications!$C:$E,3,FALSE))</f>
        <v>South West</v>
      </c>
      <c r="AQ18" s="62" t="str">
        <f t="shared" si="10"/>
        <v/>
      </c>
      <c r="AR18" s="57" t="str">
        <f>IF(AQ18="","",IF(I$8="A",(RANK(AQ18,AQ$11:AQ$363,1)+COUNTIF(AQ$11:AQ18,AQ18)-1),(RANK(AQ18,AQ$11:AQ$363)+COUNTIF(AQ$11:AQ18,AQ18)-1)))</f>
        <v/>
      </c>
      <c r="AS18" s="52" t="str">
        <f t="shared" si="23"/>
        <v/>
      </c>
      <c r="AT18" s="57" t="str">
        <f t="shared" si="11"/>
        <v/>
      </c>
      <c r="AU18" s="62" t="str">
        <f t="shared" si="12"/>
        <v/>
      </c>
      <c r="AX18" s="44">
        <f>HLOOKUP($AX$9&amp;$AX$10,Data!$A$1:$ZZ$2000,(MATCH($C18,Data!$A$1:$A$2000,0)),FALSE)</f>
        <v>98.19</v>
      </c>
      <c r="AY18" s="156"/>
      <c r="AZ18" s="44"/>
    </row>
    <row r="19" spans="1:52">
      <c r="A19" s="84" t="str">
        <f>$D$1&amp;9</f>
        <v>UA9</v>
      </c>
      <c r="B19" s="85" t="str">
        <f>IF(ISERROR(VLOOKUP(A19,classifications!A:C,3,FALSE)),0,VLOOKUP(A19,classifications!A:C,3,FALSE))</f>
        <v>North Somerset</v>
      </c>
      <c r="C19" s="31" t="s">
        <v>341</v>
      </c>
      <c r="D19" s="49" t="str">
        <f>VLOOKUP($C19,classifications!$C:$J,4,FALSE)</f>
        <v>L</v>
      </c>
      <c r="E19" s="49">
        <f>VLOOKUP(C19,classifications!C:K,9,FALSE)</f>
        <v>0</v>
      </c>
      <c r="F19" s="59">
        <f t="shared" si="1"/>
        <v>94.13</v>
      </c>
      <c r="G19" s="105"/>
      <c r="H19" s="60" t="str">
        <f t="shared" si="2"/>
        <v/>
      </c>
      <c r="I19" s="112" t="str">
        <f>IF(H19="","",IF($I$8="A",(RANK(H19,H$11:H$363,1)+COUNTIF(H$11:H19,H19)-1),(RANK(H19,H$11:H$363)+COUNTIF(H$11:H19,H19)-1)))</f>
        <v/>
      </c>
      <c r="J19" s="58"/>
      <c r="K19" s="51">
        <f t="shared" si="13"/>
        <v>9</v>
      </c>
      <c r="L19" s="59" t="str">
        <f t="shared" si="14"/>
        <v>Shropshire</v>
      </c>
      <c r="M19" s="153">
        <f t="shared" si="20"/>
        <v>98.1</v>
      </c>
      <c r="N19" s="148">
        <f t="shared" si="21"/>
        <v>98.1</v>
      </c>
      <c r="O19" s="131">
        <f t="shared" si="3"/>
        <v>98.1</v>
      </c>
      <c r="P19" s="131" t="str">
        <f t="shared" si="15"/>
        <v/>
      </c>
      <c r="Q19" s="131" t="str">
        <f t="shared" si="16"/>
        <v/>
      </c>
      <c r="R19" s="127" t="str">
        <f t="shared" si="17"/>
        <v/>
      </c>
      <c r="S19" s="60" t="str">
        <f t="shared" si="4"/>
        <v/>
      </c>
      <c r="T19" s="231" t="str">
        <f>IF(L19="","",VLOOKUP(L19,classifications!C:K,9,FALSE))</f>
        <v>Sparse</v>
      </c>
      <c r="U19" s="238">
        <f t="shared" si="5"/>
        <v>98.1</v>
      </c>
      <c r="V19" s="239">
        <f>IF(U19="","",IF($I$8="A",(RANK(U19,U$11:U$363)+COUNTIF(U$11:U19,U19)-1),(RANK(U19,U$11:U$363,1)+COUNTIF(U$11:U19,U19)-1)))</f>
        <v>10</v>
      </c>
      <c r="W19" s="240"/>
      <c r="X19" s="61" t="str">
        <f>IF(L19="","",VLOOKUP($L19,classifications!$C:$J,6,FALSE))</f>
        <v>Rural-50</v>
      </c>
      <c r="Y19" s="49">
        <f t="shared" si="6"/>
        <v>98.1</v>
      </c>
      <c r="Z19" s="57">
        <f>IF(Y19="","",IF(I$8="A",(RANK(Y19,Y$11:Y$363,1)+COUNTIF(Y$11:Y19,Y19)-1),(RANK(Y19,Y$11:Y$363)+COUNTIF(Y$11:Y19,Y19)-1)))</f>
        <v>5</v>
      </c>
      <c r="AA19" s="245" t="str">
        <f>IF(L19="","",VLOOKUP($L19,classifications!C:I,7,FALSE))</f>
        <v>Predominantly Rural</v>
      </c>
      <c r="AB19" s="239">
        <f t="shared" si="7"/>
        <v>98.1</v>
      </c>
      <c r="AC19" s="239">
        <f>IF(AB19="","",IF($I$8="A",(RANK(AB19,AB$11:AB$363)+COUNTIF(AB$11:AB19,AB19)-1),(RANK(AB19,AB$11:AB$363,1)+COUNTIF(AB$11:AB19,AB19)-1)))</f>
        <v>14</v>
      </c>
      <c r="AD19" s="239"/>
      <c r="AE19" s="71">
        <f>IF(I$8="A",(RANK(AG19,AG$11:AG$363,1)+COUNTIF(AG$11:AG19,AG19)-1),(RANK(AG19,AG$11:AG$363)+COUNTIF(AG$11:AG19,AG19)-1))</f>
        <v>13</v>
      </c>
      <c r="AF19" s="6" t="str">
        <f>VLOOKUP(Profile!$J$5,Families!$C:$R,9,FALSE)</f>
        <v>North Somerset</v>
      </c>
      <c r="AG19" s="143">
        <f t="shared" si="22"/>
        <v>97.47</v>
      </c>
      <c r="AH19" s="72">
        <f t="shared" si="18"/>
        <v>13</v>
      </c>
      <c r="AI19" s="61" t="str">
        <f>IF(L19="","",VLOOKUP($L19,classifications!$C:$J,8,FALSE))</f>
        <v>Unitary</v>
      </c>
      <c r="AJ19" s="62">
        <f t="shared" si="0"/>
        <v>98.1</v>
      </c>
      <c r="AK19" s="57">
        <f>IF(AJ19="","",IF(I$8="A",(RANK(AJ19,AJ$11:AJ$363,1)+COUNTIF(AJ$11:AJ19,AJ19)-1),(RANK(AJ19,AJ$11:AJ$363)+COUNTIF(AJ$11:AJ19,AJ19)-1)))</f>
        <v>9</v>
      </c>
      <c r="AL19" s="52">
        <f t="shared" si="19"/>
        <v>9</v>
      </c>
      <c r="AM19" s="31" t="str">
        <f t="shared" si="8"/>
        <v>Shropshire</v>
      </c>
      <c r="AN19" s="31">
        <f t="shared" si="9"/>
        <v>98.1</v>
      </c>
      <c r="AP19" s="61" t="str">
        <f>IF(L19="","",VLOOKUP($L19,classifications!$C:$E,3,FALSE))</f>
        <v>West Midlands</v>
      </c>
      <c r="AQ19" s="62" t="str">
        <f t="shared" si="10"/>
        <v/>
      </c>
      <c r="AR19" s="57" t="str">
        <f>IF(AQ19="","",IF(I$8="A",(RANK(AQ19,AQ$11:AQ$363,1)+COUNTIF(AQ$11:AQ19,AQ19)-1),(RANK(AQ19,AQ$11:AQ$363)+COUNTIF(AQ$11:AQ19,AQ19)-1)))</f>
        <v/>
      </c>
      <c r="AS19" s="52" t="str">
        <f t="shared" si="23"/>
        <v/>
      </c>
      <c r="AT19" s="57" t="str">
        <f t="shared" si="11"/>
        <v/>
      </c>
      <c r="AU19" s="62" t="str">
        <f t="shared" si="12"/>
        <v/>
      </c>
      <c r="AX19" s="44">
        <f>HLOOKUP($AX$9&amp;$AX$10,Data!$A$1:$ZZ$2000,(MATCH($C19,Data!$A$1:$A$2000,0)),FALSE)</f>
        <v>94.13</v>
      </c>
      <c r="AY19" s="156"/>
      <c r="AZ19" s="44"/>
    </row>
    <row r="20" spans="1:52">
      <c r="A20" s="84" t="str">
        <f>$D$1&amp;10</f>
        <v>UA10</v>
      </c>
      <c r="B20" s="85" t="str">
        <f>IF(ISERROR(VLOOKUP(A20,classifications!A:C,3,FALSE)),0,VLOOKUP(A20,classifications!A:C,3,FALSE))</f>
        <v>Northumberland</v>
      </c>
      <c r="C20" s="31" t="s">
        <v>197</v>
      </c>
      <c r="D20" s="49" t="str">
        <f>VLOOKUP($C20,classifications!$C:$J,4,FALSE)</f>
        <v>L</v>
      </c>
      <c r="E20" s="49">
        <f>VLOOKUP(C20,classifications!C:K,9,FALSE)</f>
        <v>0</v>
      </c>
      <c r="F20" s="59">
        <f t="shared" si="1"/>
        <v>96.39</v>
      </c>
      <c r="G20" s="105"/>
      <c r="H20" s="60" t="str">
        <f t="shared" si="2"/>
        <v/>
      </c>
      <c r="I20" s="112" t="str">
        <f>IF(H20="","",IF($I$8="A",(RANK(H20,H$11:H$363,1)+COUNTIF(H$11:H20,H20)-1),(RANK(H20,H$11:H$363)+COUNTIF(H$11:H20,H20)-1)))</f>
        <v/>
      </c>
      <c r="J20" s="58"/>
      <c r="K20" s="51">
        <f t="shared" si="13"/>
        <v>10</v>
      </c>
      <c r="L20" s="59" t="str">
        <f t="shared" si="14"/>
        <v>Cheshire East</v>
      </c>
      <c r="M20" s="153">
        <f t="shared" si="20"/>
        <v>98.05</v>
      </c>
      <c r="N20" s="148">
        <f t="shared" si="21"/>
        <v>98.05</v>
      </c>
      <c r="O20" s="131">
        <f t="shared" si="3"/>
        <v>98.05</v>
      </c>
      <c r="P20" s="131" t="str">
        <f t="shared" si="15"/>
        <v/>
      </c>
      <c r="Q20" s="131" t="str">
        <f t="shared" si="16"/>
        <v/>
      </c>
      <c r="R20" s="127" t="str">
        <f t="shared" si="17"/>
        <v/>
      </c>
      <c r="S20" s="60" t="str">
        <f t="shared" si="4"/>
        <v>u</v>
      </c>
      <c r="T20" s="231" t="str">
        <f>IF(L20="","",VLOOKUP(L20,classifications!C:K,9,FALSE))</f>
        <v>Sparse</v>
      </c>
      <c r="U20" s="238">
        <f t="shared" si="5"/>
        <v>98.05</v>
      </c>
      <c r="V20" s="239">
        <f>IF(U20="","",IF($I$8="A",(RANK(U20,U$11:U$363)+COUNTIF(U$11:U20,U20)-1),(RANK(U20,U$11:U$363,1)+COUNTIF(U$11:U20,U20)-1)))</f>
        <v>9</v>
      </c>
      <c r="W20" s="240"/>
      <c r="X20" s="61" t="str">
        <f>IF(L20="","",VLOOKUP($L20,classifications!$C:$J,6,FALSE))</f>
        <v>Rural-50</v>
      </c>
      <c r="Y20" s="49">
        <f t="shared" si="6"/>
        <v>98.05</v>
      </c>
      <c r="Z20" s="57">
        <f>IF(Y20="","",IF(I$8="A",(RANK(Y20,Y$11:Y$363,1)+COUNTIF(Y$11:Y20,Y20)-1),(RANK(Y20,Y$11:Y$363)+COUNTIF(Y$11:Y20,Y20)-1)))</f>
        <v>6</v>
      </c>
      <c r="AA20" s="245" t="str">
        <f>IF(L20="","",VLOOKUP($L20,classifications!C:I,7,FALSE))</f>
        <v>Predominantly Rural</v>
      </c>
      <c r="AB20" s="239">
        <f t="shared" si="7"/>
        <v>98.05</v>
      </c>
      <c r="AC20" s="239">
        <f>IF(AB20="","",IF($I$8="A",(RANK(AB20,AB$11:AB$363)+COUNTIF(AB$11:AB20,AB20)-1),(RANK(AB20,AB$11:AB$363,1)+COUNTIF(AB$11:AB20,AB20)-1)))</f>
        <v>13</v>
      </c>
      <c r="AD20" s="239"/>
      <c r="AE20" s="71">
        <f>IF(I$8="A",(RANK(AG20,AG$11:AG$363,1)+COUNTIF(AG$11:AG20,AG20)-1),(RANK(AG20,AG$11:AG$363)+COUNTIF(AG$11:AG20,AG20)-1))</f>
        <v>10</v>
      </c>
      <c r="AF20" s="6" t="str">
        <f>VLOOKUP(Profile!$J$5,Families!$C:$R,10,FALSE)</f>
        <v>York</v>
      </c>
      <c r="AG20" s="143">
        <f t="shared" si="22"/>
        <v>97.58</v>
      </c>
      <c r="AH20" s="72">
        <f t="shared" si="18"/>
        <v>10</v>
      </c>
      <c r="AI20" s="61" t="str">
        <f>IF(L20="","",VLOOKUP($L20,classifications!$C:$J,8,FALSE))</f>
        <v>Unitary</v>
      </c>
      <c r="AJ20" s="62">
        <f t="shared" si="0"/>
        <v>98.05</v>
      </c>
      <c r="AK20" s="57">
        <f>IF(AJ20="","",IF(I$8="A",(RANK(AJ20,AJ$11:AJ$363,1)+COUNTIF(AJ$11:AJ20,AJ20)-1),(RANK(AJ20,AJ$11:AJ$363)+COUNTIF(AJ$11:AJ20,AJ20)-1)))</f>
        <v>10</v>
      </c>
      <c r="AL20" s="52">
        <f t="shared" si="19"/>
        <v>10</v>
      </c>
      <c r="AM20" s="31" t="str">
        <f t="shared" si="8"/>
        <v>Cheshire East</v>
      </c>
      <c r="AN20" s="31">
        <f t="shared" si="9"/>
        <v>98.05</v>
      </c>
      <c r="AP20" s="61" t="str">
        <f>IF(L20="","",VLOOKUP($L20,classifications!$C:$E,3,FALSE))</f>
        <v>North West</v>
      </c>
      <c r="AQ20" s="62">
        <f t="shared" si="10"/>
        <v>98.05</v>
      </c>
      <c r="AR20" s="57">
        <f>IF(AQ20="","",IF(I$8="A",(RANK(AQ20,AQ$11:AQ$363,1)+COUNTIF(AQ$11:AQ20,AQ20)-1),(RANK(AQ20,AQ$11:AQ$363)+COUNTIF(AQ$11:AQ20,AQ20)-1)))</f>
        <v>1</v>
      </c>
      <c r="AS20" s="52" t="str">
        <f t="shared" si="23"/>
        <v/>
      </c>
      <c r="AT20" s="57" t="str">
        <f t="shared" si="11"/>
        <v/>
      </c>
      <c r="AU20" s="62" t="str">
        <f t="shared" si="12"/>
        <v/>
      </c>
      <c r="AX20" s="44">
        <f>HLOOKUP($AX$9&amp;$AX$10,Data!$A$1:$ZZ$2000,(MATCH($C20,Data!$A$1:$A$2000,0)),FALSE)</f>
        <v>96.39</v>
      </c>
      <c r="AY20" s="156"/>
      <c r="AZ20" s="44"/>
    </row>
    <row r="21" spans="1:52">
      <c r="A21" s="84" t="str">
        <f>$D$1&amp;11</f>
        <v>UA11</v>
      </c>
      <c r="B21" s="85" t="str">
        <f>IF(ISERROR(VLOOKUP(A21,classifications!A:C,3,FALSE)),0,VLOOKUP(A21,classifications!A:C,3,FALSE))</f>
        <v>Rutland</v>
      </c>
      <c r="C21" s="31" t="s">
        <v>223</v>
      </c>
      <c r="D21" s="49" t="str">
        <f>VLOOKUP($C21,classifications!$C:$J,4,FALSE)</f>
        <v>MD</v>
      </c>
      <c r="E21" s="49">
        <f>VLOOKUP(C21,classifications!C:K,9,FALSE)</f>
        <v>0</v>
      </c>
      <c r="F21" s="59">
        <f t="shared" si="1"/>
        <v>95.51</v>
      </c>
      <c r="G21" s="105"/>
      <c r="H21" s="60" t="str">
        <f t="shared" si="2"/>
        <v/>
      </c>
      <c r="I21" s="112" t="str">
        <f>IF(H21="","",IF($I$8="A",(RANK(H21,H$11:H$363,1)+COUNTIF(H$11:H21,H21)-1),(RANK(H21,H$11:H$363)+COUNTIF(H$11:H21,H21)-1)))</f>
        <v/>
      </c>
      <c r="J21" s="58"/>
      <c r="K21" s="51">
        <f t="shared" si="13"/>
        <v>11</v>
      </c>
      <c r="L21" s="59" t="str">
        <f t="shared" si="14"/>
        <v>Wiltshire</v>
      </c>
      <c r="M21" s="153">
        <f t="shared" si="20"/>
        <v>97.76</v>
      </c>
      <c r="N21" s="148">
        <f t="shared" si="21"/>
        <v>97.76</v>
      </c>
      <c r="O21" s="131">
        <f t="shared" si="3"/>
        <v>97.76</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Rural-50</v>
      </c>
      <c r="Y21" s="49">
        <f t="shared" si="6"/>
        <v>97.76</v>
      </c>
      <c r="Z21" s="57">
        <f>IF(Y21="","",IF(I$8="A",(RANK(Y21,Y$11:Y$363,1)+COUNTIF(Y$11:Y21,Y21)-1),(RANK(Y21,Y$11:Y$363)+COUNTIF(Y$11:Y21,Y21)-1)))</f>
        <v>7</v>
      </c>
      <c r="AA21" s="245" t="str">
        <f>IF(L21="","",VLOOKUP($L21,classifications!C:I,7,FALSE))</f>
        <v>Predominantly Rural</v>
      </c>
      <c r="AB21" s="239">
        <f t="shared" si="7"/>
        <v>97.76</v>
      </c>
      <c r="AC21" s="239">
        <f>IF(AB21="","",IF($I$8="A",(RANK(AB21,AB$11:AB$363)+COUNTIF(AB$11:AB21,AB21)-1),(RANK(AB21,AB$11:AB$363,1)+COUNTIF(AB$11:AB21,AB21)-1)))</f>
        <v>12</v>
      </c>
      <c r="AD21" s="239"/>
      <c r="AE21" s="71">
        <f>IF(I$8="A",(RANK(AG21,AG$11:AG$363,1)+COUNTIF(AG$11:AG21,AG21)-1),(RANK(AG21,AG$11:AG$363)+COUNTIF(AG$11:AG21,AG21)-1))</f>
        <v>8</v>
      </c>
      <c r="AF21" s="6" t="str">
        <f>VLOOKUP(Profile!$J$5,Families!$C:$R,11,FALSE)</f>
        <v>Trafford</v>
      </c>
      <c r="AG21" s="143">
        <f t="shared" si="22"/>
        <v>97.7</v>
      </c>
      <c r="AH21" s="72">
        <f t="shared" si="18"/>
        <v>8</v>
      </c>
      <c r="AI21" s="61" t="str">
        <f>IF(L21="","",VLOOKUP($L21,classifications!$C:$J,8,FALSE))</f>
        <v>Unitary</v>
      </c>
      <c r="AJ21" s="62">
        <f t="shared" si="0"/>
        <v>97.76</v>
      </c>
      <c r="AK21" s="57">
        <f>IF(AJ21="","",IF(I$8="A",(RANK(AJ21,AJ$11:AJ$363,1)+COUNTIF(AJ$11:AJ21,AJ21)-1),(RANK(AJ21,AJ$11:AJ$363)+COUNTIF(AJ$11:AJ21,AJ21)-1)))</f>
        <v>11</v>
      </c>
      <c r="AL21" s="52">
        <f t="shared" si="19"/>
        <v>11</v>
      </c>
      <c r="AM21" s="31" t="str">
        <f t="shared" si="8"/>
        <v>Wiltshire</v>
      </c>
      <c r="AN21" s="31">
        <f t="shared" si="9"/>
        <v>97.76</v>
      </c>
      <c r="AP21" s="61" t="str">
        <f>IF(L21="","",VLOOKUP($L21,classifications!$C:$E,3,FALSE))</f>
        <v>South West</v>
      </c>
      <c r="AQ21" s="62" t="str">
        <f t="shared" si="10"/>
        <v/>
      </c>
      <c r="AR21" s="57" t="str">
        <f>IF(AQ21="","",IF(I$8="A",(RANK(AQ21,AQ$11:AQ$363,1)+COUNTIF(AQ$11:AQ21,AQ21)-1),(RANK(AQ21,AQ$11:AQ$363)+COUNTIF(AQ$11:AQ21,AQ21)-1)))</f>
        <v/>
      </c>
      <c r="AS21" s="52" t="str">
        <f t="shared" si="23"/>
        <v/>
      </c>
      <c r="AT21" s="57" t="str">
        <f t="shared" si="11"/>
        <v/>
      </c>
      <c r="AU21" s="62" t="str">
        <f t="shared" si="12"/>
        <v/>
      </c>
      <c r="AX21" s="44">
        <f>HLOOKUP($AX$9&amp;$AX$10,Data!$A$1:$ZZ$2000,(MATCH($C21,Data!$A$1:$A$2000,0)),FALSE)</f>
        <v>95.51</v>
      </c>
      <c r="AY21" s="156"/>
      <c r="AZ21" s="44"/>
    </row>
    <row r="22" spans="1:52">
      <c r="A22" s="84" t="str">
        <f>$D$1&amp;12</f>
        <v>UA12</v>
      </c>
      <c r="B22" s="85" t="str">
        <f>IF(ISERROR(VLOOKUP(A22,classifications!A:C,3,FALSE)),0,VLOOKUP(A22,classifications!A:C,3,FALSE))</f>
        <v>Shropshire</v>
      </c>
      <c r="C22" s="31" t="s">
        <v>13</v>
      </c>
      <c r="D22" s="49" t="str">
        <f>VLOOKUP($C22,classifications!$C:$J,4,FALSE)</f>
        <v>SD</v>
      </c>
      <c r="E22" s="49">
        <f>VLOOKUP(C22,classifications!C:K,9,FALSE)</f>
        <v>0</v>
      </c>
      <c r="F22" s="59">
        <f t="shared" si="1"/>
        <v>96.58</v>
      </c>
      <c r="G22" s="105"/>
      <c r="H22" s="60" t="str">
        <f t="shared" si="2"/>
        <v/>
      </c>
      <c r="I22" s="112" t="str">
        <f>IF(H22="","",IF($I$8="A",(RANK(H22,H$11:H$363,1)+COUNTIF(H$11:H22,H22)-1),(RANK(H22,H$11:H$363)+COUNTIF(H$11:H22,H22)-1)))</f>
        <v/>
      </c>
      <c r="J22" s="58"/>
      <c r="K22" s="51">
        <f t="shared" si="13"/>
        <v>12</v>
      </c>
      <c r="L22" s="59" t="str">
        <f t="shared" si="14"/>
        <v>Windsor &amp; Maidenhead</v>
      </c>
      <c r="M22" s="153">
        <f t="shared" si="20"/>
        <v>97.73</v>
      </c>
      <c r="N22" s="148">
        <f t="shared" si="21"/>
        <v>97.73</v>
      </c>
      <c r="O22" s="131">
        <f t="shared" si="3"/>
        <v>97.73</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Other Urban</v>
      </c>
      <c r="Y22" s="49" t="str">
        <f t="shared" si="6"/>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15</v>
      </c>
      <c r="AF22" s="6" t="str">
        <f>VLOOKUP(Profile!$J$5,Families!$C:$R,12,FALSE)</f>
        <v>Warrington</v>
      </c>
      <c r="AG22" s="143">
        <f t="shared" si="22"/>
        <v>97.22</v>
      </c>
      <c r="AH22" s="72">
        <f t="shared" si="18"/>
        <v>15</v>
      </c>
      <c r="AI22" s="61" t="str">
        <f>IF(L22="","",VLOOKUP($L22,classifications!$C:$J,8,FALSE))</f>
        <v>Unitary</v>
      </c>
      <c r="AJ22" s="62">
        <f t="shared" si="0"/>
        <v>97.73</v>
      </c>
      <c r="AK22" s="57">
        <f>IF(AJ22="","",IF(I$8="A",(RANK(AJ22,AJ$11:AJ$363,1)+COUNTIF(AJ$11:AJ22,AJ22)-1),(RANK(AJ22,AJ$11:AJ$363)+COUNTIF(AJ$11:AJ22,AJ22)-1)))</f>
        <v>12</v>
      </c>
      <c r="AL22" s="52">
        <f t="shared" si="19"/>
        <v>12</v>
      </c>
      <c r="AM22" s="31" t="str">
        <f>IF(ISNA(IF(AL22="","",INDEX(L$11:L$363,MATCH(AL22,AK$11:AK$363,0)))),"",(IF(AL22="","",INDEX(L$11:L$363,MATCH(AL22,AK$11:AK$363,0)))))</f>
        <v>Windsor &amp; Maidenhead</v>
      </c>
      <c r="AN22" s="31">
        <f t="shared" si="9"/>
        <v>97.73</v>
      </c>
      <c r="AP22" s="61" t="str">
        <f>IF(L22="","",VLOOKUP($L22,classifications!$C:$E,3,FALSE))</f>
        <v>South East</v>
      </c>
      <c r="AQ22" s="62" t="str">
        <f t="shared" si="10"/>
        <v/>
      </c>
      <c r="AR22" s="57" t="str">
        <f>IF(AQ22="","",IF(I$8="A",(RANK(AQ22,AQ$11:AQ$363,1)+COUNTIF(AQ$11:AQ22,AQ22)-1),(RANK(AQ22,AQ$11:AQ$363)+COUNTIF(AQ$11:AQ22,AQ22)-1)))</f>
        <v/>
      </c>
      <c r="AS22" s="52" t="str">
        <f t="shared" si="23"/>
        <v/>
      </c>
      <c r="AT22" s="57" t="str">
        <f t="shared" si="11"/>
        <v/>
      </c>
      <c r="AU22" s="62" t="str">
        <f t="shared" si="12"/>
        <v/>
      </c>
      <c r="AX22" s="44">
        <f>HLOOKUP($AX$9&amp;$AX$10,Data!$A$1:$ZZ$2000,(MATCH($C22,Data!$A$1:$A$2000,0)),FALSE)</f>
        <v>96.58</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1"/>
        <v>97.12</v>
      </c>
      <c r="G23" s="105"/>
      <c r="H23" s="60" t="str">
        <f t="shared" si="2"/>
        <v/>
      </c>
      <c r="I23" s="112" t="str">
        <f>IF(H23="","",IF($I$8="A",(RANK(H23,H$11:H$363,1)+COUNTIF(H$11:H23,H23)-1),(RANK(H23,H$11:H$363)+COUNTIF(H$11:H23,H23)-1)))</f>
        <v/>
      </c>
      <c r="J23" s="58"/>
      <c r="K23" s="51">
        <f t="shared" si="13"/>
        <v>13</v>
      </c>
      <c r="L23" s="59" t="str">
        <f t="shared" si="14"/>
        <v>Isle of Wight</v>
      </c>
      <c r="M23" s="153">
        <f t="shared" si="20"/>
        <v>97.7</v>
      </c>
      <c r="N23" s="148">
        <f t="shared" si="21"/>
        <v>97.7</v>
      </c>
      <c r="O23" s="131">
        <f t="shared" si="3"/>
        <v>97.7</v>
      </c>
      <c r="P23" s="131" t="str">
        <f t="shared" si="15"/>
        <v/>
      </c>
      <c r="Q23" s="131" t="str">
        <f t="shared" si="16"/>
        <v/>
      </c>
      <c r="R23" s="127" t="str">
        <f t="shared" si="17"/>
        <v/>
      </c>
      <c r="S23" s="60" t="str">
        <f t="shared" si="4"/>
        <v/>
      </c>
      <c r="T23" s="231" t="str">
        <f>IF(L23="","",VLOOKUP(L23,classifications!C:K,9,FALSE))</f>
        <v>Sparse</v>
      </c>
      <c r="U23" s="238">
        <f t="shared" si="5"/>
        <v>97.7</v>
      </c>
      <c r="V23" s="239">
        <f>IF(U23="","",IF($I$8="A",(RANK(U23,U$11:U$363)+COUNTIF(U$11:U23,U23)-1),(RANK(U23,U$11:U$363,1)+COUNTIF(U$11:U23,U23)-1)))</f>
        <v>8</v>
      </c>
      <c r="W23" s="240"/>
      <c r="X23" s="61" t="str">
        <f>IF(L23="","",VLOOKUP($L23,classifications!$C:$J,6,FALSE))</f>
        <v>Rural-80</v>
      </c>
      <c r="Y23" s="49">
        <f t="shared" si="6"/>
        <v>97.7</v>
      </c>
      <c r="Z23" s="57">
        <f>IF(Y23="","",IF(I$8="A",(RANK(Y23,Y$11:Y$363,1)+COUNTIF(Y$11:Y23,Y23)-1),(RANK(Y23,Y$11:Y$363)+COUNTIF(Y$11:Y23,Y23)-1)))</f>
        <v>8</v>
      </c>
      <c r="AA23" s="245" t="str">
        <f>IF(L23="","",VLOOKUP($L23,classifications!C:I,7,FALSE))</f>
        <v>Predominantly Rural</v>
      </c>
      <c r="AB23" s="239">
        <f t="shared" si="7"/>
        <v>97.7</v>
      </c>
      <c r="AC23" s="239">
        <f>IF(AB23="","",IF($I$8="A",(RANK(AB23,AB$11:AB$363)+COUNTIF(AB$11:AB23,AB23)-1),(RANK(AB23,AB$11:AB$363,1)+COUNTIF(AB$11:AB23,AB23)-1)))</f>
        <v>11</v>
      </c>
      <c r="AD23" s="239"/>
      <c r="AE23" s="71">
        <f>IF(I$8="A",(RANK(AG23,AG$11:AG$363,1)+COUNTIF(AG$11:AG23,AG23)-1),(RANK(AG23,AG$11:AG$363)+COUNTIF(AG$11:AG23,AG23)-1))</f>
        <v>11</v>
      </c>
      <c r="AF23" s="6" t="str">
        <f>VLOOKUP(Profile!$J$5,Families!$C:$R,13,FALSE)</f>
        <v>East Riding of Yorkshire</v>
      </c>
      <c r="AG23" s="143">
        <f t="shared" si="22"/>
        <v>97.58</v>
      </c>
      <c r="AH23" s="72">
        <f t="shared" si="18"/>
        <v>11</v>
      </c>
      <c r="AI23" s="61" t="str">
        <f>IF(L23="","",VLOOKUP($L23,classifications!$C:$J,8,FALSE))</f>
        <v>Unitary</v>
      </c>
      <c r="AJ23" s="62">
        <f t="shared" si="0"/>
        <v>97.7</v>
      </c>
      <c r="AK23" s="57">
        <f>IF(AJ23="","",IF(I$8="A",(RANK(AJ23,AJ$11:AJ$363,1)+COUNTIF(AJ$11:AJ23,AJ23)-1),(RANK(AJ23,AJ$11:AJ$363)+COUNTIF(AJ$11:AJ23,AJ23)-1)))</f>
        <v>13</v>
      </c>
      <c r="AL23" s="52">
        <f t="shared" si="19"/>
        <v>13</v>
      </c>
      <c r="AM23" s="31" t="str">
        <f t="shared" ref="AM23:AM86" si="24">IF(ISNA(IF(AL23="","",INDEX(L$11:L$363,MATCH(AL23,AK$11:AK$363,0)))),"",(IF(AL23="","",INDEX(L$11:L$363,MATCH(AL23,AK$11:AK$363,0)))))</f>
        <v>Isle of Wight</v>
      </c>
      <c r="AN23" s="31">
        <f t="shared" si="9"/>
        <v>97.7</v>
      </c>
      <c r="AP23" s="61" t="str">
        <f>IF(L23="","",VLOOKUP($L23,classifications!$C:$E,3,FALSE))</f>
        <v>South East</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97.12</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98.53</v>
      </c>
      <c r="G24" s="105"/>
      <c r="H24" s="60" t="str">
        <f t="shared" si="2"/>
        <v/>
      </c>
      <c r="I24" s="112" t="str">
        <f>IF(H24="","",IF($I$8="A",(RANK(H24,H$11:H$363,1)+COUNTIF(H$11:H24,H24)-1),(RANK(H24,H$11:H$363)+COUNTIF(H$11:H24,H24)-1)))</f>
        <v/>
      </c>
      <c r="J24" s="58"/>
      <c r="K24" s="51">
        <f t="shared" si="13"/>
        <v>14</v>
      </c>
      <c r="L24" s="59" t="str">
        <f t="shared" si="14"/>
        <v>Cheshire West &amp; Chester</v>
      </c>
      <c r="M24" s="153">
        <f t="shared" si="20"/>
        <v>97.64</v>
      </c>
      <c r="N24" s="148">
        <f t="shared" si="21"/>
        <v>97.64</v>
      </c>
      <c r="O24" s="131">
        <f t="shared" si="3"/>
        <v>97.64</v>
      </c>
      <c r="P24" s="131" t="str">
        <f t="shared" si="15"/>
        <v/>
      </c>
      <c r="Q24" s="131" t="str">
        <f t="shared" si="16"/>
        <v/>
      </c>
      <c r="R24" s="127" t="str">
        <f t="shared" si="17"/>
        <v/>
      </c>
      <c r="S24" s="60" t="str">
        <f t="shared" si="4"/>
        <v/>
      </c>
      <c r="T24" s="231" t="str">
        <f>IF(L24="","",VLOOKUP(L24,classifications!C:K,9,FALSE))</f>
        <v>Sparse</v>
      </c>
      <c r="U24" s="238">
        <f t="shared" si="5"/>
        <v>97.64</v>
      </c>
      <c r="V24" s="239">
        <f>IF(U24="","",IF($I$8="A",(RANK(U24,U$11:U$363)+COUNTIF(U$11:U24,U24)-1),(RANK(U24,U$11:U$363,1)+COUNTIF(U$11:U24,U24)-1)))</f>
        <v>7</v>
      </c>
      <c r="W24" s="240"/>
      <c r="X24" s="61" t="str">
        <f>IF(L24="","",VLOOKUP($L24,classifications!$C:$J,6,FALSE))</f>
        <v>Significant Rural</v>
      </c>
      <c r="Y24" s="49">
        <f t="shared" si="6"/>
        <v>97.64</v>
      </c>
      <c r="Z24" s="57">
        <f>IF(Y24="","",IF(I$8="A",(RANK(Y24,Y$11:Y$363,1)+COUNTIF(Y$11:Y24,Y24)-1),(RANK(Y24,Y$11:Y$363)+COUNTIF(Y$11:Y24,Y24)-1)))</f>
        <v>9</v>
      </c>
      <c r="AA24" s="245" t="str">
        <f>IF(L24="","",VLOOKUP($L24,classifications!C:I,7,FALSE))</f>
        <v>Significant Rural</v>
      </c>
      <c r="AB24" s="239" t="str">
        <f t="shared" si="7"/>
        <v/>
      </c>
      <c r="AC24" s="239" t="str">
        <f>IF(AB24="","",IF($I$8="A",(RANK(AB24,AB$11:AB$363)+COUNTIF(AB$11:AB24,AB24)-1),(RANK(AB24,AB$11:AB$363,1)+COUNTIF(AB$11:AB24,AB24)-1)))</f>
        <v/>
      </c>
      <c r="AD24" s="239"/>
      <c r="AE24" s="71">
        <f>IF(I$8="A",(RANK(AG24,AG$11:AG$363,1)+COUNTIF(AG$11:AG24,AG24)-1),(RANK(AG24,AG$11:AG$363)+COUNTIF(AG$11:AG24,AG24)-1))</f>
        <v>3</v>
      </c>
      <c r="AF24" s="6" t="str">
        <f>VLOOKUP(Profile!$J$5,Families!$C:$R,14,FALSE)</f>
        <v>Herefordshire</v>
      </c>
      <c r="AG24" s="143">
        <f t="shared" si="22"/>
        <v>98.4</v>
      </c>
      <c r="AH24" s="72">
        <f t="shared" si="18"/>
        <v>3</v>
      </c>
      <c r="AI24" s="61" t="str">
        <f>IF(L24="","",VLOOKUP($L24,classifications!$C:$J,8,FALSE))</f>
        <v>Unitary</v>
      </c>
      <c r="AJ24" s="62">
        <f t="shared" si="0"/>
        <v>97.64</v>
      </c>
      <c r="AK24" s="57">
        <f>IF(AJ24="","",IF(I$8="A",(RANK(AJ24,AJ$11:AJ$363,1)+COUNTIF(AJ$11:AJ24,AJ24)-1),(RANK(AJ24,AJ$11:AJ$363)+COUNTIF(AJ$11:AJ24,AJ24)-1)))</f>
        <v>14</v>
      </c>
      <c r="AL24" s="52">
        <f t="shared" si="19"/>
        <v>14</v>
      </c>
      <c r="AM24" s="31" t="str">
        <f t="shared" si="24"/>
        <v>Cheshire West &amp; Chester</v>
      </c>
      <c r="AN24" s="31">
        <f t="shared" si="9"/>
        <v>97.64</v>
      </c>
      <c r="AP24" s="61" t="str">
        <f>IF(L24="","",VLOOKUP($L24,classifications!$C:$E,3,FALSE))</f>
        <v>North West</v>
      </c>
      <c r="AQ24" s="62">
        <f t="shared" si="10"/>
        <v>97.64</v>
      </c>
      <c r="AR24" s="57">
        <f>IF(AQ24="","",IF(I$8="A",(RANK(AQ24,AQ$11:AQ$363,1)+COUNTIF(AQ$11:AQ24,AQ24)-1),(RANK(AQ24,AQ$11:AQ$363)+COUNTIF(AQ$11:AQ24,AQ24)-1)))</f>
        <v>2</v>
      </c>
      <c r="AS24" s="52" t="str">
        <f t="shared" si="23"/>
        <v/>
      </c>
      <c r="AT24" s="57" t="str">
        <f t="shared" si="11"/>
        <v/>
      </c>
      <c r="AU24" s="62" t="str">
        <f t="shared" si="12"/>
        <v/>
      </c>
      <c r="AX24" s="44">
        <f>HLOOKUP($AX$9&amp;$AX$10,Data!$A$1:$ZZ$2000,(MATCH($C24,Data!$A$1:$A$2000,0)),FALSE)</f>
        <v>98.53</v>
      </c>
      <c r="AY24" s="156"/>
      <c r="AZ24" s="44"/>
    </row>
    <row r="25" spans="1:52">
      <c r="A25" s="84" t="str">
        <f>$D$1&amp;15</f>
        <v>UA15</v>
      </c>
      <c r="B25" s="85">
        <f>IF(ISERROR(VLOOKUP(A25,classifications!A:C,3,FALSE)),0,VLOOKUP(A25,classifications!A:C,3,FALSE))</f>
        <v>0</v>
      </c>
      <c r="C25" s="31" t="s">
        <v>15</v>
      </c>
      <c r="D25" s="49" t="str">
        <f>VLOOKUP($C25,classifications!$C:$J,4,FALSE)</f>
        <v>SD</v>
      </c>
      <c r="E25" s="49" t="str">
        <f>VLOOKUP(C25,classifications!C:K,9,FALSE)</f>
        <v>Sparse</v>
      </c>
      <c r="F25" s="59">
        <f t="shared" si="1"/>
        <v>97.19</v>
      </c>
      <c r="G25" s="105"/>
      <c r="H25" s="60" t="str">
        <f t="shared" si="2"/>
        <v/>
      </c>
      <c r="I25" s="112" t="str">
        <f>IF(H25="","",IF($I$8="A",(RANK(H25,H$11:H$363,1)+COUNTIF(H$11:H25,H25)-1),(RANK(H25,H$11:H$363)+COUNTIF(H$11:H25,H25)-1)))</f>
        <v/>
      </c>
      <c r="J25" s="58"/>
      <c r="K25" s="51">
        <f t="shared" si="13"/>
        <v>15</v>
      </c>
      <c r="L25" s="59" t="str">
        <f t="shared" si="14"/>
        <v>East Riding of Yorkshire</v>
      </c>
      <c r="M25" s="153">
        <f t="shared" si="20"/>
        <v>97.58</v>
      </c>
      <c r="N25" s="148">
        <f t="shared" si="21"/>
        <v>97.58</v>
      </c>
      <c r="O25" s="131" t="str">
        <f t="shared" si="3"/>
        <v/>
      </c>
      <c r="P25" s="131">
        <f t="shared" si="15"/>
        <v>97.58</v>
      </c>
      <c r="Q25" s="131" t="str">
        <f t="shared" si="16"/>
        <v/>
      </c>
      <c r="R25" s="127" t="str">
        <f t="shared" si="17"/>
        <v/>
      </c>
      <c r="S25" s="60" t="str">
        <f t="shared" si="4"/>
        <v/>
      </c>
      <c r="T25" s="231" t="str">
        <f>IF(L25="","",VLOOKUP(L25,classifications!C:K,9,FALSE))</f>
        <v>Sparse</v>
      </c>
      <c r="U25" s="238">
        <f t="shared" si="5"/>
        <v>97.58</v>
      </c>
      <c r="V25" s="239">
        <f>IF(U25="","",IF($I$8="A",(RANK(U25,U$11:U$363)+COUNTIF(U$11:U25,U25)-1),(RANK(U25,U$11:U$363,1)+COUNTIF(U$11:U25,U25)-1)))</f>
        <v>5</v>
      </c>
      <c r="W25" s="240"/>
      <c r="X25" s="61" t="str">
        <f>IF(L25="","",VLOOKUP($L25,classifications!$C:$J,6,FALSE))</f>
        <v>Rural-50</v>
      </c>
      <c r="Y25" s="49">
        <f t="shared" si="6"/>
        <v>97.58</v>
      </c>
      <c r="Z25" s="57">
        <f>IF(Y25="","",IF(I$8="A",(RANK(Y25,Y$11:Y$363,1)+COUNTIF(Y$11:Y25,Y25)-1),(RANK(Y25,Y$11:Y$363)+COUNTIF(Y$11:Y25,Y25)-1)))</f>
        <v>10</v>
      </c>
      <c r="AA25" s="245" t="str">
        <f>IF(L25="","",VLOOKUP($L25,classifications!C:I,7,FALSE))</f>
        <v>Predominantly Rural</v>
      </c>
      <c r="AB25" s="239">
        <f t="shared" si="7"/>
        <v>97.58</v>
      </c>
      <c r="AC25" s="239">
        <f>IF(AB25="","",IF($I$8="A",(RANK(AB25,AB$11:AB$363)+COUNTIF(AB$11:AB25,AB25)-1),(RANK(AB25,AB$11:AB$363,1)+COUNTIF(AB$11:AB25,AB25)-1)))</f>
        <v>9</v>
      </c>
      <c r="AD25" s="239"/>
      <c r="AE25" s="71">
        <f>IF(I$8="A",(RANK(AG25,AG$11:AG$363,1)+COUNTIF(AG$11:AG25,AG25)-1),(RANK(AG25,AG$11:AG$363)+COUNTIF(AG$11:AG25,AG25)-1))</f>
        <v>4</v>
      </c>
      <c r="AF25" s="6" t="str">
        <f>VLOOKUP(Profile!$J$5,Families!$C:$R,15,FALSE)</f>
        <v>South Gloucestershire</v>
      </c>
      <c r="AG25" s="143">
        <f t="shared" si="22"/>
        <v>98.36</v>
      </c>
      <c r="AH25" s="72">
        <f t="shared" si="18"/>
        <v>4</v>
      </c>
      <c r="AI25" s="61" t="str">
        <f>IF(L25="","",VLOOKUP($L25,classifications!$C:$J,8,FALSE))</f>
        <v>Unitary</v>
      </c>
      <c r="AJ25" s="62">
        <f t="shared" si="0"/>
        <v>97.58</v>
      </c>
      <c r="AK25" s="57">
        <f>IF(AJ25="","",IF(I$8="A",(RANK(AJ25,AJ$11:AJ$363,1)+COUNTIF(AJ$11:AJ25,AJ25)-1),(RANK(AJ25,AJ$11:AJ$363)+COUNTIF(AJ$11:AJ25,AJ25)-1)))</f>
        <v>15</v>
      </c>
      <c r="AL25" s="52">
        <f t="shared" si="19"/>
        <v>15</v>
      </c>
      <c r="AM25" s="31" t="str">
        <f t="shared" si="24"/>
        <v>East Riding of Yorkshire</v>
      </c>
      <c r="AN25" s="31">
        <f t="shared" si="9"/>
        <v>97.58</v>
      </c>
      <c r="AP25" s="61" t="str">
        <f>IF(L25="","",VLOOKUP($L25,classifications!$C:$E,3,FALSE))</f>
        <v>Yorkshire &amp; Humberside</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97.19</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1"/>
        <v>98.78</v>
      </c>
      <c r="G26" s="105"/>
      <c r="H26" s="60">
        <f t="shared" si="2"/>
        <v>98.78</v>
      </c>
      <c r="I26" s="112">
        <f>IF(H26="","",IF($I$8="A",(RANK(H26,H$11:H$363,1)+COUNTIF(H$11:H26,H26)-1),(RANK(H26,H$11:H$363)+COUNTIF(H$11:H26,H26)-1)))</f>
        <v>3</v>
      </c>
      <c r="J26" s="58"/>
      <c r="K26" s="51">
        <f t="shared" si="13"/>
        <v>16</v>
      </c>
      <c r="L26" s="59" t="str">
        <f t="shared" si="14"/>
        <v>North Lincolnshire</v>
      </c>
      <c r="M26" s="153">
        <f t="shared" si="20"/>
        <v>97.58</v>
      </c>
      <c r="N26" s="148">
        <f t="shared" si="21"/>
        <v>97.58</v>
      </c>
      <c r="O26" s="131" t="str">
        <f t="shared" si="3"/>
        <v/>
      </c>
      <c r="P26" s="131">
        <f t="shared" si="15"/>
        <v>97.58</v>
      </c>
      <c r="Q26" s="131" t="str">
        <f t="shared" si="16"/>
        <v/>
      </c>
      <c r="R26" s="127" t="str">
        <f t="shared" si="17"/>
        <v/>
      </c>
      <c r="S26" s="60" t="str">
        <f t="shared" si="4"/>
        <v/>
      </c>
      <c r="T26" s="231" t="str">
        <f>IF(L26="","",VLOOKUP(L26,classifications!C:K,9,FALSE))</f>
        <v>Sparse</v>
      </c>
      <c r="U26" s="238">
        <f t="shared" si="5"/>
        <v>97.58</v>
      </c>
      <c r="V26" s="239">
        <f>IF(U26="","",IF($I$8="A",(RANK(U26,U$11:U$363)+COUNTIF(U$11:U26,U26)-1),(RANK(U26,U$11:U$363,1)+COUNTIF(U$11:U26,U26)-1)))</f>
        <v>6</v>
      </c>
      <c r="W26" s="240"/>
      <c r="X26" s="61" t="str">
        <f>IF(L26="","",VLOOKUP($L26,classifications!$C:$J,6,FALSE))</f>
        <v>Rural-50</v>
      </c>
      <c r="Y26" s="49">
        <f t="shared" si="6"/>
        <v>97.58</v>
      </c>
      <c r="Z26" s="57">
        <f>IF(Y26="","",IF(I$8="A",(RANK(Y26,Y$11:Y$363,1)+COUNTIF(Y$11:Y26,Y26)-1),(RANK(Y26,Y$11:Y$363)+COUNTIF(Y$11:Y26,Y26)-1)))</f>
        <v>11</v>
      </c>
      <c r="AA26" s="245" t="str">
        <f>IF(L26="","",VLOOKUP($L26,classifications!C:I,7,FALSE))</f>
        <v>Predominantly Rural</v>
      </c>
      <c r="AB26" s="239">
        <f t="shared" si="7"/>
        <v>97.58</v>
      </c>
      <c r="AC26" s="239">
        <f>IF(AB26="","",IF($I$8="A",(RANK(AB26,AB$11:AB$363)+COUNTIF(AB$11:AB26,AB26)-1),(RANK(AB26,AB$11:AB$363,1)+COUNTIF(AB$11:AB26,AB26)-1)))</f>
        <v>10</v>
      </c>
      <c r="AD26" s="239"/>
      <c r="AE26" s="71">
        <f>IF(I$8="A",(RANK(AG26,AG$11:AG$363,1)+COUNTIF(AG$11:AG26,AG26)-1),(RANK(AG26,AG$11:AG$363)+COUNTIF(AG$11:AG26,AG26)-1))</f>
        <v>12</v>
      </c>
      <c r="AF26" s="6" t="str">
        <f>VLOOKUP(Profile!$J$5,Families!$C:$R,16,FALSE)</f>
        <v>Bedford</v>
      </c>
      <c r="AG26" s="143">
        <f t="shared" si="22"/>
        <v>97.52</v>
      </c>
      <c r="AH26" s="72">
        <f t="shared" si="18"/>
        <v>12</v>
      </c>
      <c r="AI26" s="61" t="str">
        <f>IF(L26="","",VLOOKUP($L26,classifications!$C:$J,8,FALSE))</f>
        <v>Unitary</v>
      </c>
      <c r="AJ26" s="62">
        <f t="shared" si="0"/>
        <v>97.58</v>
      </c>
      <c r="AK26" s="57">
        <f>IF(AJ26="","",IF(I$8="A",(RANK(AJ26,AJ$11:AJ$363,1)+COUNTIF(AJ$11:AJ26,AJ26)-1),(RANK(AJ26,AJ$11:AJ$363)+COUNTIF(AJ$11:AJ26,AJ26)-1)))</f>
        <v>16</v>
      </c>
      <c r="AL26" s="52">
        <f t="shared" si="19"/>
        <v>16</v>
      </c>
      <c r="AM26" s="31" t="str">
        <f t="shared" si="24"/>
        <v>North Lincolnshire</v>
      </c>
      <c r="AN26" s="31">
        <f t="shared" si="9"/>
        <v>97.58</v>
      </c>
      <c r="AP26" s="61" t="str">
        <f>IF(L26="","",VLOOKUP($L26,classifications!$C:$E,3,FALSE))</f>
        <v>Yorkshire &amp; Humberside</v>
      </c>
      <c r="AQ26" s="62" t="str">
        <f t="shared" si="10"/>
        <v/>
      </c>
      <c r="AR26" s="57" t="str">
        <f>IF(AQ26="","",IF(I$8="A",(RANK(AQ26,AQ$11:AQ$363,1)+COUNTIF(AQ$11:AQ26,AQ26)-1),(RANK(AQ26,AQ$11:AQ$363)+COUNTIF(AQ$11:AQ26,AQ26)-1)))</f>
        <v/>
      </c>
      <c r="AS26" s="52" t="str">
        <f t="shared" si="23"/>
        <v/>
      </c>
      <c r="AT26" s="57" t="str">
        <f t="shared" si="11"/>
        <v/>
      </c>
      <c r="AU26" s="62" t="str">
        <f t="shared" si="12"/>
        <v/>
      </c>
      <c r="AX26" s="44">
        <f>HLOOKUP($AX$9&amp;$AX$10,Data!$A$1:$ZZ$2000,(MATCH($C26,Data!$A$1:$A$2000,0)),FALSE)</f>
        <v>98.78</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97.52</v>
      </c>
      <c r="G27" s="105"/>
      <c r="H27" s="60">
        <f t="shared" si="2"/>
        <v>97.52</v>
      </c>
      <c r="I27" s="112">
        <f>IF(H27="","",IF($I$8="A",(RANK(H27,H$11:H$363,1)+COUNTIF(H$11:H27,H27)-1),(RANK(H27,H$11:H$363)+COUNTIF(H$11:H27,H27)-1)))</f>
        <v>20</v>
      </c>
      <c r="J27" s="58"/>
      <c r="K27" s="51">
        <f t="shared" si="13"/>
        <v>17</v>
      </c>
      <c r="L27" s="59" t="str">
        <f>IF(K27="","",INDEX(C$11:C$363,MATCH(K27,I$11:I$363,0)))</f>
        <v>York</v>
      </c>
      <c r="M27" s="153">
        <f t="shared" si="20"/>
        <v>97.58</v>
      </c>
      <c r="N27" s="148">
        <f t="shared" si="21"/>
        <v>97.58</v>
      </c>
      <c r="O27" s="131" t="str">
        <f t="shared" si="3"/>
        <v/>
      </c>
      <c r="P27" s="131">
        <f t="shared" si="15"/>
        <v>97.58</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Other Urban</v>
      </c>
      <c r="Y27" s="49" t="str">
        <f t="shared" si="6"/>
        <v/>
      </c>
      <c r="Z27" s="57" t="str">
        <f>IF(Y27="","",IF(I$8="A",(RANK(Y27,Y$11:Y$363,1)+COUNTIF(Y$11:Y27,Y27)-1),(RANK(Y27,Y$11:Y$363)+COUNTIF(Y$11:Y27,Y27)-1)))</f>
        <v/>
      </c>
      <c r="AA27" s="245" t="str">
        <f>IF(L27="","",VLOOKUP($L27,classifications!C:I,7,FALSE))</f>
        <v>Predominantly Urban</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0"/>
        <v>97.58</v>
      </c>
      <c r="AK27" s="57">
        <f>IF(AJ27="","",IF(I$8="A",(RANK(AJ27,AJ$11:AJ$363,1)+COUNTIF(AJ$11:AJ27,AJ27)-1),(RANK(AJ27,AJ$11:AJ$363)+COUNTIF(AJ$11:AJ27,AJ27)-1)))</f>
        <v>17</v>
      </c>
      <c r="AL27" s="52">
        <f t="shared" si="19"/>
        <v>17</v>
      </c>
      <c r="AM27" s="31" t="str">
        <f t="shared" si="24"/>
        <v>York</v>
      </c>
      <c r="AN27" s="31">
        <f t="shared" si="9"/>
        <v>97.58</v>
      </c>
      <c r="AP27" s="61" t="str">
        <f>IF(L27="","",VLOOKUP($L27,classifications!$C:$E,3,FALSE))</f>
        <v>Yorkshire &amp; Humberside</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97.52</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96.27</v>
      </c>
      <c r="G28" s="105"/>
      <c r="H28" s="60" t="str">
        <f t="shared" si="2"/>
        <v/>
      </c>
      <c r="I28" s="112" t="str">
        <f>IF(H28="","",IF($I$8="A",(RANK(H28,H$11:H$363,1)+COUNTIF(H$11:H28,H28)-1),(RANK(H28,H$11:H$363)+COUNTIF(H$11:H28,H28)-1)))</f>
        <v/>
      </c>
      <c r="J28" s="58"/>
      <c r="K28" s="51">
        <f t="shared" si="13"/>
        <v>18</v>
      </c>
      <c r="L28" s="59" t="str">
        <f t="shared" si="14"/>
        <v>Bracknell Forest</v>
      </c>
      <c r="M28" s="153">
        <f t="shared" si="20"/>
        <v>97.57</v>
      </c>
      <c r="N28" s="148">
        <f t="shared" si="21"/>
        <v>97.57</v>
      </c>
      <c r="O28" s="131" t="str">
        <f t="shared" si="3"/>
        <v/>
      </c>
      <c r="P28" s="131">
        <f t="shared" si="15"/>
        <v>97.57</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Large Urban</v>
      </c>
      <c r="Y28" s="49" t="str">
        <f t="shared" si="6"/>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Unitary</v>
      </c>
      <c r="AJ28" s="62">
        <f t="shared" si="0"/>
        <v>97.57</v>
      </c>
      <c r="AK28" s="57">
        <f>IF(AJ28="","",IF(I$8="A",(RANK(AJ28,AJ$11:AJ$363,1)+COUNTIF(AJ$11:AJ28,AJ28)-1),(RANK(AJ28,AJ$11:AJ$363)+COUNTIF(AJ$11:AJ28,AJ28)-1)))</f>
        <v>18</v>
      </c>
      <c r="AL28" s="52">
        <f t="shared" si="19"/>
        <v>18</v>
      </c>
      <c r="AM28" s="31" t="str">
        <f t="shared" si="24"/>
        <v>Bracknell Forest</v>
      </c>
      <c r="AN28" s="31">
        <f t="shared" si="9"/>
        <v>97.57</v>
      </c>
      <c r="AP28" s="61" t="str">
        <f>IF(L28="","",VLOOKUP($L28,classifications!$C:$E,3,FALSE))</f>
        <v>South East</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96.27</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95.34</v>
      </c>
      <c r="G29" s="105"/>
      <c r="H29" s="60" t="str">
        <f t="shared" si="2"/>
        <v/>
      </c>
      <c r="I29" s="112" t="str">
        <f>IF(H29="","",IF($I$8="A",(RANK(H29,H$11:H$363,1)+COUNTIF(H$11:H29,H29)-1),(RANK(H29,H$11:H$363)+COUNTIF(H$11:H29,H29)-1)))</f>
        <v/>
      </c>
      <c r="J29" s="58"/>
      <c r="K29" s="51">
        <f t="shared" si="13"/>
        <v>19</v>
      </c>
      <c r="L29" s="59" t="str">
        <f t="shared" si="14"/>
        <v>Milton Keynes</v>
      </c>
      <c r="M29" s="153">
        <f t="shared" si="20"/>
        <v>97.53</v>
      </c>
      <c r="N29" s="148">
        <f t="shared" si="21"/>
        <v>97.53</v>
      </c>
      <c r="O29" s="131" t="str">
        <f t="shared" si="3"/>
        <v/>
      </c>
      <c r="P29" s="131">
        <f t="shared" si="15"/>
        <v>97.53</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Other Urban</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0"/>
        <v>97.53</v>
      </c>
      <c r="AK29" s="57">
        <f>IF(AJ29="","",IF(I$8="A",(RANK(AJ29,AJ$11:AJ$363,1)+COUNTIF(AJ$11:AJ29,AJ29)-1),(RANK(AJ29,AJ$11:AJ$363)+COUNTIF(AJ$11:AJ29,AJ29)-1)))</f>
        <v>19</v>
      </c>
      <c r="AL29" s="52">
        <f t="shared" si="19"/>
        <v>19</v>
      </c>
      <c r="AM29" s="31" t="str">
        <f t="shared" si="24"/>
        <v>Milton Keynes</v>
      </c>
      <c r="AN29" s="31">
        <f t="shared" si="9"/>
        <v>97.53</v>
      </c>
      <c r="AP29" s="61" t="str">
        <f>IF(L29="","",VLOOKUP($L29,classifications!$C:$E,3,FALSE))</f>
        <v>South East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95.34</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97.5</v>
      </c>
      <c r="G30" s="105"/>
      <c r="H30" s="60" t="str">
        <f t="shared" si="2"/>
        <v/>
      </c>
      <c r="I30" s="112" t="str">
        <f>IF(H30="","",IF($I$8="A",(RANK(H30,H$11:H$363,1)+COUNTIF(H$11:H30,H30)-1),(RANK(H30,H$11:H$363)+COUNTIF(H$11:H30,H30)-1)))</f>
        <v/>
      </c>
      <c r="J30" s="58"/>
      <c r="K30" s="51">
        <f t="shared" si="13"/>
        <v>20</v>
      </c>
      <c r="L30" s="59" t="str">
        <f t="shared" si="14"/>
        <v>Bedford</v>
      </c>
      <c r="M30" s="153">
        <f t="shared" si="20"/>
        <v>97.52</v>
      </c>
      <c r="N30" s="148">
        <f t="shared" si="21"/>
        <v>97.52</v>
      </c>
      <c r="O30" s="131" t="str">
        <f t="shared" si="3"/>
        <v/>
      </c>
      <c r="P30" s="131">
        <f t="shared" si="15"/>
        <v>97.52</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Significant Rural</v>
      </c>
      <c r="Y30" s="49">
        <f t="shared" si="6"/>
        <v>97.52</v>
      </c>
      <c r="Z30" s="57">
        <f>IF(Y30="","",IF(I$8="A",(RANK(Y30,Y$11:Y$363,1)+COUNTIF(Y$11:Y30,Y30)-1),(RANK(Y30,Y$11:Y$363)+COUNTIF(Y$11:Y30,Y30)-1)))</f>
        <v>12</v>
      </c>
      <c r="AA30" s="245" t="str">
        <f>IF(L30="","",VLOOKUP($L30,classifications!C:I,7,FALSE))</f>
        <v>Significant Rural</v>
      </c>
      <c r="AB30" s="239" t="str">
        <f t="shared" si="7"/>
        <v/>
      </c>
      <c r="AC30" s="239" t="str">
        <f>IF(AB30="","",IF($I$8="A",(RANK(AB30,AB$11:AB$363)+COUNTIF(AB$11:AB30,AB30)-1),(RANK(AB30,AB$11:AB$363,1)+COUNTIF(AB$11:AB30,AB30)-1)))</f>
        <v/>
      </c>
      <c r="AD30" s="239"/>
      <c r="AE30" s="51"/>
      <c r="AF30" s="6"/>
      <c r="AG30" s="143"/>
      <c r="AH30" s="52"/>
      <c r="AI30" s="61" t="str">
        <f>IF(L30="","",VLOOKUP($L30,classifications!$C:$J,8,FALSE))</f>
        <v>Unitary</v>
      </c>
      <c r="AJ30" s="62">
        <f t="shared" si="0"/>
        <v>97.52</v>
      </c>
      <c r="AK30" s="57">
        <f>IF(AJ30="","",IF(I$8="A",(RANK(AJ30,AJ$11:AJ$363,1)+COUNTIF(AJ$11:AJ30,AJ30)-1),(RANK(AJ30,AJ$11:AJ$363)+COUNTIF(AJ$11:AJ30,AJ30)-1)))</f>
        <v>20</v>
      </c>
      <c r="AL30" s="52">
        <f t="shared" si="19"/>
        <v>20</v>
      </c>
      <c r="AM30" s="31" t="str">
        <f t="shared" si="24"/>
        <v>Bedford</v>
      </c>
      <c r="AN30" s="31">
        <f t="shared" si="9"/>
        <v>97.52</v>
      </c>
      <c r="AP30" s="61" t="str">
        <f>IF(L30="","",VLOOKUP($L30,classifications!$C:$E,3,FALSE))</f>
        <v>East of England</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97.5</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95.55</v>
      </c>
      <c r="G31" s="105"/>
      <c r="H31" s="60">
        <f t="shared" si="2"/>
        <v>95.55</v>
      </c>
      <c r="I31" s="112">
        <f>IF(H31="","",IF($I$8="A",(RANK(H31,H$11:H$363,1)+COUNTIF(H$11:H31,H31)-1),(RANK(H31,H$11:H$363)+COUNTIF(H$11:H31,H31)-1)))</f>
        <v>39</v>
      </c>
      <c r="J31" s="58"/>
      <c r="K31" s="51">
        <f t="shared" si="13"/>
        <v>21</v>
      </c>
      <c r="L31" s="59" t="str">
        <f t="shared" si="14"/>
        <v>North Somerset</v>
      </c>
      <c r="M31" s="153">
        <f t="shared" si="20"/>
        <v>97.47</v>
      </c>
      <c r="N31" s="148">
        <f t="shared" si="21"/>
        <v>97.47</v>
      </c>
      <c r="O31" s="131" t="str">
        <f t="shared" si="3"/>
        <v/>
      </c>
      <c r="P31" s="131">
        <f t="shared" si="15"/>
        <v>97.47</v>
      </c>
      <c r="Q31" s="131" t="str">
        <f t="shared" si="16"/>
        <v/>
      </c>
      <c r="R31" s="127" t="str">
        <f t="shared" si="17"/>
        <v/>
      </c>
      <c r="S31" s="60" t="str">
        <f t="shared" si="4"/>
        <v/>
      </c>
      <c r="T31" s="231" t="str">
        <f>IF(L31="","",VLOOKUP(L31,classifications!C:K,9,FALSE))</f>
        <v>Sparse</v>
      </c>
      <c r="U31" s="238">
        <f t="shared" si="5"/>
        <v>97.47</v>
      </c>
      <c r="V31" s="239">
        <f>IF(U31="","",IF($I$8="A",(RANK(U31,U$11:U$363)+COUNTIF(U$11:U31,U31)-1),(RANK(U31,U$11:U$363,1)+COUNTIF(U$11:U31,U31)-1)))</f>
        <v>4</v>
      </c>
      <c r="W31" s="240"/>
      <c r="X31" s="61" t="str">
        <f>IF(L31="","",VLOOKUP($L31,classifications!$C:$J,6,FALSE))</f>
        <v>Rural-50</v>
      </c>
      <c r="Y31" s="49">
        <f t="shared" si="6"/>
        <v>97.47</v>
      </c>
      <c r="Z31" s="57">
        <f>IF(Y31="","",IF(I$8="A",(RANK(Y31,Y$11:Y$363,1)+COUNTIF(Y$11:Y31,Y31)-1),(RANK(Y31,Y$11:Y$363)+COUNTIF(Y$11:Y31,Y31)-1)))</f>
        <v>13</v>
      </c>
      <c r="AA31" s="245" t="str">
        <f>IF(L31="","",VLOOKUP($L31,classifications!C:I,7,FALSE))</f>
        <v>Predominantly Rural</v>
      </c>
      <c r="AB31" s="239">
        <f t="shared" si="7"/>
        <v>97.47</v>
      </c>
      <c r="AC31" s="239">
        <f>IF(AB31="","",IF($I$8="A",(RANK(AB31,AB$11:AB$363)+COUNTIF(AB$11:AB31,AB31)-1),(RANK(AB31,AB$11:AB$363,1)+COUNTIF(AB$11:AB31,AB31)-1)))</f>
        <v>8</v>
      </c>
      <c r="AD31" s="239"/>
      <c r="AE31" s="51"/>
      <c r="AF31" s="6"/>
      <c r="AG31" s="143"/>
      <c r="AH31" s="52"/>
      <c r="AI31" s="61" t="str">
        <f>IF(L31="","",VLOOKUP($L31,classifications!$C:$J,8,FALSE))</f>
        <v>Unitary</v>
      </c>
      <c r="AJ31" s="62">
        <f t="shared" si="0"/>
        <v>97.47</v>
      </c>
      <c r="AK31" s="57">
        <f>IF(AJ31="","",IF(I$8="A",(RANK(AJ31,AJ$11:AJ$363,1)+COUNTIF(AJ$11:AJ31,AJ31)-1),(RANK(AJ31,AJ$11:AJ$363)+COUNTIF(AJ$11:AJ31,AJ31)-1)))</f>
        <v>21</v>
      </c>
      <c r="AL31" s="52">
        <f t="shared" si="19"/>
        <v>21</v>
      </c>
      <c r="AM31" s="31" t="str">
        <f t="shared" si="24"/>
        <v>North Somerset</v>
      </c>
      <c r="AN31" s="31">
        <f t="shared" si="9"/>
        <v>97.47</v>
      </c>
      <c r="AP31" s="61" t="str">
        <f>IF(L31="","",VLOOKUP($L31,classifications!$C:$E,3,FALSE))</f>
        <v>South West</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95.55</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93.09</v>
      </c>
      <c r="G32" s="105"/>
      <c r="H32" s="60">
        <f t="shared" si="2"/>
        <v>93.09</v>
      </c>
      <c r="I32" s="112">
        <f>IF(H32="","",IF($I$8="A",(RANK(H32,H$11:H$363,1)+COUNTIF(H$11:H32,H32)-1),(RANK(H32,H$11:H$363)+COUNTIF(H$11:H32,H32)-1)))</f>
        <v>55</v>
      </c>
      <c r="J32" s="58"/>
      <c r="K32" s="51">
        <f t="shared" si="13"/>
        <v>22</v>
      </c>
      <c r="L32" s="59" t="str">
        <f t="shared" si="14"/>
        <v>Northumberland</v>
      </c>
      <c r="M32" s="153">
        <f t="shared" si="20"/>
        <v>97.46</v>
      </c>
      <c r="N32" s="148">
        <f t="shared" si="21"/>
        <v>97.46</v>
      </c>
      <c r="O32" s="131" t="str">
        <f t="shared" si="3"/>
        <v/>
      </c>
      <c r="P32" s="131">
        <f t="shared" si="15"/>
        <v>97.46</v>
      </c>
      <c r="Q32" s="131" t="str">
        <f t="shared" si="16"/>
        <v/>
      </c>
      <c r="R32" s="127" t="str">
        <f t="shared" si="17"/>
        <v/>
      </c>
      <c r="S32" s="60" t="str">
        <f t="shared" si="4"/>
        <v/>
      </c>
      <c r="T32" s="231" t="str">
        <f>IF(L32="","",VLOOKUP(L32,classifications!C:K,9,FALSE))</f>
        <v>Sparse</v>
      </c>
      <c r="U32" s="238">
        <f t="shared" si="5"/>
        <v>97.46</v>
      </c>
      <c r="V32" s="239">
        <f>IF(U32="","",IF($I$8="A",(RANK(U32,U$11:U$363)+COUNTIF(U$11:U32,U32)-1),(RANK(U32,U$11:U$363,1)+COUNTIF(U$11:U32,U32)-1)))</f>
        <v>3</v>
      </c>
      <c r="W32" s="240"/>
      <c r="X32" s="61" t="str">
        <f>IF(L32="","",VLOOKUP($L32,classifications!$C:$J,6,FALSE))</f>
        <v>Rural-50</v>
      </c>
      <c r="Y32" s="49">
        <f t="shared" si="6"/>
        <v>97.46</v>
      </c>
      <c r="Z32" s="57">
        <f>IF(Y32="","",IF(I$8="A",(RANK(Y32,Y$11:Y$363,1)+COUNTIF(Y$11:Y32,Y32)-1),(RANK(Y32,Y$11:Y$363)+COUNTIF(Y$11:Y32,Y32)-1)))</f>
        <v>14</v>
      </c>
      <c r="AA32" s="245" t="str">
        <f>IF(L32="","",VLOOKUP($L32,classifications!C:I,7,FALSE))</f>
        <v>Predominantly Rural</v>
      </c>
      <c r="AB32" s="239">
        <f t="shared" si="7"/>
        <v>97.46</v>
      </c>
      <c r="AC32" s="239">
        <f>IF(AB32="","",IF($I$8="A",(RANK(AB32,AB$11:AB$363)+COUNTIF(AB$11:AB32,AB32)-1),(RANK(AB32,AB$11:AB$363,1)+COUNTIF(AB$11:AB32,AB32)-1)))</f>
        <v>7</v>
      </c>
      <c r="AD32" s="239"/>
      <c r="AE32" s="51"/>
      <c r="AG32" s="143"/>
      <c r="AH32" s="52"/>
      <c r="AI32" s="61" t="str">
        <f>IF(L32="","",VLOOKUP($L32,classifications!$C:$J,8,FALSE))</f>
        <v>Unitary</v>
      </c>
      <c r="AJ32" s="62">
        <f t="shared" si="0"/>
        <v>97.46</v>
      </c>
      <c r="AK32" s="57">
        <f>IF(AJ32="","",IF(I$8="A",(RANK(AJ32,AJ$11:AJ$363,1)+COUNTIF(AJ$11:AJ32,AJ32)-1),(RANK(AJ32,AJ$11:AJ$363)+COUNTIF(AJ$11:AJ32,AJ32)-1)))</f>
        <v>22</v>
      </c>
      <c r="AL32" s="52">
        <f t="shared" si="19"/>
        <v>22</v>
      </c>
      <c r="AM32" s="31" t="str">
        <f t="shared" si="24"/>
        <v>Northumberland</v>
      </c>
      <c r="AN32" s="31">
        <f t="shared" si="9"/>
        <v>97.46</v>
      </c>
      <c r="AP32" s="61" t="str">
        <f>IF(L32="","",VLOOKUP($L32,classifications!$C:$E,3,FALSE))</f>
        <v>NE</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93.09</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97.35</v>
      </c>
      <c r="G33" s="105"/>
      <c r="H33" s="60" t="str">
        <f t="shared" si="2"/>
        <v/>
      </c>
      <c r="I33" s="112" t="str">
        <f>IF(H33="","",IF($I$8="A",(RANK(H33,H$11:H$363,1)+COUNTIF(H$11:H33,H33)-1),(RANK(H33,H$11:H$363)+COUNTIF(H$11:H33,H33)-1)))</f>
        <v/>
      </c>
      <c r="J33" s="58"/>
      <c r="K33" s="51">
        <f t="shared" si="13"/>
        <v>23</v>
      </c>
      <c r="L33" s="59" t="str">
        <f t="shared" si="14"/>
        <v>Central Bedfordshire</v>
      </c>
      <c r="M33" s="153">
        <f t="shared" si="20"/>
        <v>97.4</v>
      </c>
      <c r="N33" s="148">
        <f t="shared" si="21"/>
        <v>97.4</v>
      </c>
      <c r="O33" s="131" t="str">
        <f t="shared" si="3"/>
        <v/>
      </c>
      <c r="P33" s="131">
        <f t="shared" si="15"/>
        <v>97.4</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Rural-50</v>
      </c>
      <c r="Y33" s="49">
        <f t="shared" si="6"/>
        <v>97.4</v>
      </c>
      <c r="Z33" s="57">
        <f>IF(Y33="","",IF(I$8="A",(RANK(Y33,Y$11:Y$363,1)+COUNTIF(Y$11:Y33,Y33)-1),(RANK(Y33,Y$11:Y$363)+COUNTIF(Y$11:Y33,Y33)-1)))</f>
        <v>15</v>
      </c>
      <c r="AA33" s="245" t="str">
        <f>IF(L33="","",VLOOKUP($L33,classifications!C:I,7,FALSE))</f>
        <v>Predominantly Rural</v>
      </c>
      <c r="AB33" s="239">
        <f t="shared" si="7"/>
        <v>97.4</v>
      </c>
      <c r="AC33" s="239">
        <f>IF(AB33="","",IF($I$8="A",(RANK(AB33,AB$11:AB$363)+COUNTIF(AB$11:AB33,AB33)-1),(RANK(AB33,AB$11:AB$363,1)+COUNTIF(AB$11:AB33,AB33)-1)))</f>
        <v>6</v>
      </c>
      <c r="AD33" s="239"/>
      <c r="AE33" s="51"/>
      <c r="AG33" s="143"/>
      <c r="AH33" s="52"/>
      <c r="AI33" s="61" t="str">
        <f>IF(L33="","",VLOOKUP($L33,classifications!$C:$J,8,FALSE))</f>
        <v>Unitary</v>
      </c>
      <c r="AJ33" s="62">
        <f t="shared" si="0"/>
        <v>97.4</v>
      </c>
      <c r="AK33" s="57">
        <f>IF(AJ33="","",IF(I$8="A",(RANK(AJ33,AJ$11:AJ$363,1)+COUNTIF(AJ$11:AJ33,AJ33)-1),(RANK(AJ33,AJ$11:AJ$363)+COUNTIF(AJ$11:AJ33,AJ33)-1)))</f>
        <v>23</v>
      </c>
      <c r="AL33" s="52">
        <f t="shared" si="19"/>
        <v>23</v>
      </c>
      <c r="AM33" s="31" t="str">
        <f t="shared" si="24"/>
        <v>Central Bedfordshire</v>
      </c>
      <c r="AN33" s="31">
        <f t="shared" si="9"/>
        <v>97.4</v>
      </c>
      <c r="AP33" s="61" t="str">
        <f>IF(L33="","",VLOOKUP($L33,classifications!$C:$E,3,FALSE))</f>
        <v>East of England</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97.35</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95.83</v>
      </c>
      <c r="G34" s="105"/>
      <c r="H34" s="60" t="str">
        <f t="shared" si="2"/>
        <v/>
      </c>
      <c r="I34" s="112" t="str">
        <f>IF(H34="","",IF($I$8="A",(RANK(H34,H$11:H$363,1)+COUNTIF(H$11:H34,H34)-1),(RANK(H34,H$11:H$363)+COUNTIF(H$11:H34,H34)-1)))</f>
        <v/>
      </c>
      <c r="J34" s="58"/>
      <c r="K34" s="51">
        <f t="shared" si="13"/>
        <v>24</v>
      </c>
      <c r="L34" s="59" t="str">
        <f t="shared" si="14"/>
        <v>Swindon</v>
      </c>
      <c r="M34" s="153">
        <f t="shared" si="20"/>
        <v>97.4</v>
      </c>
      <c r="N34" s="148">
        <f t="shared" si="21"/>
        <v>97.4</v>
      </c>
      <c r="O34" s="131" t="str">
        <f t="shared" si="3"/>
        <v/>
      </c>
      <c r="P34" s="131">
        <f t="shared" si="15"/>
        <v>97.4</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Other Urban</v>
      </c>
      <c r="Y34" s="49" t="str">
        <f t="shared" si="6"/>
        <v/>
      </c>
      <c r="Z34" s="57" t="str">
        <f>IF(Y34="","",IF(I$8="A",(RANK(Y34,Y$11:Y$363,1)+COUNTIF(Y$11:Y34,Y34)-1),(RANK(Y34,Y$11:Y$363)+COUNTIF(Y$11:Y34,Y34)-1)))</f>
        <v/>
      </c>
      <c r="AA34" s="245" t="str">
        <f>IF(L34="","",VLOOKUP($L34,classifications!C:I,7,FALSE))</f>
        <v>Predominantly Urban</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97.4</v>
      </c>
      <c r="AK34" s="57">
        <f>IF(AJ34="","",IF(I$8="A",(RANK(AJ34,AJ$11:AJ$363,1)+COUNTIF(AJ$11:AJ34,AJ34)-1),(RANK(AJ34,AJ$11:AJ$363)+COUNTIF(AJ$11:AJ34,AJ34)-1)))</f>
        <v>24</v>
      </c>
      <c r="AL34" s="52">
        <f t="shared" si="19"/>
        <v>24</v>
      </c>
      <c r="AM34" s="31" t="str">
        <f t="shared" si="24"/>
        <v>Swindon</v>
      </c>
      <c r="AN34" s="31">
        <f t="shared" si="9"/>
        <v>97.4</v>
      </c>
      <c r="AP34" s="61" t="str">
        <f>IF(L34="","",VLOOKUP($L34,classifications!$C:$E,3,FALSE))</f>
        <v>South West</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95.83</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95.37</v>
      </c>
      <c r="G35" s="105"/>
      <c r="H35" s="60" t="str">
        <f t="shared" si="2"/>
        <v/>
      </c>
      <c r="I35" s="112" t="str">
        <f>IF(H35="","",IF($I$8="A",(RANK(H35,H$11:H$363,1)+COUNTIF(H$11:H35,H35)-1),(RANK(H35,H$11:H$363)+COUNTIF(H$11:H35,H35)-1)))</f>
        <v/>
      </c>
      <c r="J35" s="58"/>
      <c r="K35" s="51">
        <f t="shared" si="13"/>
        <v>25</v>
      </c>
      <c r="L35" s="59" t="str">
        <f t="shared" si="14"/>
        <v>Warrington</v>
      </c>
      <c r="M35" s="153">
        <f t="shared" si="20"/>
        <v>97.22</v>
      </c>
      <c r="N35" s="148">
        <f t="shared" si="21"/>
        <v>97.22</v>
      </c>
      <c r="O35" s="131" t="str">
        <f t="shared" si="3"/>
        <v/>
      </c>
      <c r="P35" s="131">
        <f t="shared" si="15"/>
        <v>97.22</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Other Urban</v>
      </c>
      <c r="Y35" s="49" t="str">
        <f t="shared" si="6"/>
        <v/>
      </c>
      <c r="Z35" s="57" t="str">
        <f>IF(Y35="","",IF(I$8="A",(RANK(Y35,Y$11:Y$363,1)+COUNTIF(Y$11:Y35,Y35)-1),(RANK(Y35,Y$11:Y$363)+COUNTIF(Y$11:Y35,Y35)-1)))</f>
        <v/>
      </c>
      <c r="AA35" s="245" t="str">
        <f>IF(L35="","",VLOOKUP($L35,classifications!C:I,7,FALSE))</f>
        <v>Predominantly Urban</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97.22</v>
      </c>
      <c r="AK35" s="57">
        <f>IF(AJ35="","",IF(I$8="A",(RANK(AJ35,AJ$11:AJ$363,1)+COUNTIF(AJ$11:AJ35,AJ35)-1),(RANK(AJ35,AJ$11:AJ$363)+COUNTIF(AJ$11:AJ35,AJ35)-1)))</f>
        <v>25</v>
      </c>
      <c r="AL35" s="52">
        <f t="shared" si="19"/>
        <v>25</v>
      </c>
      <c r="AM35" s="31" t="str">
        <f t="shared" si="24"/>
        <v>Warrington</v>
      </c>
      <c r="AN35" s="31">
        <f t="shared" si="9"/>
        <v>97.22</v>
      </c>
      <c r="AP35" s="61" t="str">
        <f>IF(L35="","",VLOOKUP($L35,classifications!$C:$E,3,FALSE))</f>
        <v>North West</v>
      </c>
      <c r="AQ35" s="62">
        <f t="shared" si="10"/>
        <v>97.22</v>
      </c>
      <c r="AR35" s="57">
        <f>IF(AQ35="","",IF(I$8="A",(RANK(AQ35,AQ$11:AQ$363,1)+COUNTIF(AQ$11:AQ35,AQ35)-1),(RANK(AQ35,AQ$11:AQ$363)+COUNTIF(AQ$11:AQ35,AQ35)-1)))</f>
        <v>3</v>
      </c>
      <c r="AS35" s="52" t="str">
        <f t="shared" si="23"/>
        <v/>
      </c>
      <c r="AT35" s="57" t="str">
        <f t="shared" si="11"/>
        <v/>
      </c>
      <c r="AU35" s="62" t="str">
        <f t="shared" si="12"/>
        <v/>
      </c>
      <c r="AX35" s="44">
        <f>HLOOKUP($AX$9&amp;$AX$10,Data!$A$1:$ZZ$2000,(MATCH($C35,Data!$A$1:$A$2000,0)),FALSE)</f>
        <v>95.37</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96.38</v>
      </c>
      <c r="G36" s="105"/>
      <c r="H36" s="60">
        <f t="shared" si="2"/>
        <v>96.38</v>
      </c>
      <c r="I36" s="112">
        <f>IF(H36="","",IF($I$8="A",(RANK(H36,H$11:H$363,1)+COUNTIF(H$11:H36,H36)-1),(RANK(H36,H$11:H$363)+COUNTIF(H$11:H36,H36)-1)))</f>
        <v>34</v>
      </c>
      <c r="J36" s="58"/>
      <c r="K36" s="51">
        <f t="shared" si="13"/>
        <v>26</v>
      </c>
      <c r="L36" s="59" t="str">
        <f t="shared" si="14"/>
        <v>Cornwall</v>
      </c>
      <c r="M36" s="153">
        <f t="shared" si="20"/>
        <v>97.13</v>
      </c>
      <c r="N36" s="148">
        <f t="shared" si="21"/>
        <v>97.13</v>
      </c>
      <c r="O36" s="131" t="str">
        <f t="shared" si="3"/>
        <v/>
      </c>
      <c r="P36" s="131">
        <f t="shared" si="15"/>
        <v>97.13</v>
      </c>
      <c r="Q36" s="131" t="str">
        <f t="shared" si="16"/>
        <v/>
      </c>
      <c r="R36" s="127" t="str">
        <f t="shared" si="17"/>
        <v/>
      </c>
      <c r="S36" s="60" t="str">
        <f t="shared" si="4"/>
        <v/>
      </c>
      <c r="T36" s="231" t="str">
        <f>IF(L36="","",VLOOKUP(L36,classifications!C:K,9,FALSE))</f>
        <v>Sparse</v>
      </c>
      <c r="U36" s="238">
        <f t="shared" si="5"/>
        <v>97.13</v>
      </c>
      <c r="V36" s="239">
        <f>IF(U36="","",IF($I$8="A",(RANK(U36,U$11:U$363)+COUNTIF(U$11:U36,U36)-1),(RANK(U36,U$11:U$363,1)+COUNTIF(U$11:U36,U36)-1)))</f>
        <v>2</v>
      </c>
      <c r="W36" s="240"/>
      <c r="X36" s="61" t="str">
        <f>IF(L36="","",VLOOKUP($L36,classifications!$C:$J,6,FALSE))</f>
        <v>Rural-80</v>
      </c>
      <c r="Y36" s="49">
        <f t="shared" si="6"/>
        <v>97.13</v>
      </c>
      <c r="Z36" s="57">
        <f>IF(Y36="","",IF(I$8="A",(RANK(Y36,Y$11:Y$363,1)+COUNTIF(Y$11:Y36,Y36)-1),(RANK(Y36,Y$11:Y$363)+COUNTIF(Y$11:Y36,Y36)-1)))</f>
        <v>16</v>
      </c>
      <c r="AA36" s="245" t="str">
        <f>IF(L36="","",VLOOKUP($L36,classifications!C:I,7,FALSE))</f>
        <v>Predominantly Rural</v>
      </c>
      <c r="AB36" s="239">
        <f t="shared" si="7"/>
        <v>97.13</v>
      </c>
      <c r="AC36" s="239">
        <f>IF(AB36="","",IF($I$8="A",(RANK(AB36,AB$11:AB$363)+COUNTIF(AB$11:AB36,AB36)-1),(RANK(AB36,AB$11:AB$363,1)+COUNTIF(AB$11:AB36,AB36)-1)))</f>
        <v>5</v>
      </c>
      <c r="AD36" s="239"/>
      <c r="AE36" s="51" t="str">
        <f t="shared" si="25"/>
        <v/>
      </c>
      <c r="AG36" s="143"/>
      <c r="AH36" s="52"/>
      <c r="AI36" s="61" t="str">
        <f>IF(L36="","",VLOOKUP($L36,classifications!$C:$J,8,FALSE))</f>
        <v>Unitary</v>
      </c>
      <c r="AJ36" s="62">
        <f t="shared" si="0"/>
        <v>97.13</v>
      </c>
      <c r="AK36" s="57">
        <f>IF(AJ36="","",IF(I$8="A",(RANK(AJ36,AJ$11:AJ$363,1)+COUNTIF(AJ$11:AJ36,AJ36)-1),(RANK(AJ36,AJ$11:AJ$363)+COUNTIF(AJ$11:AJ36,AJ36)-1)))</f>
        <v>26</v>
      </c>
      <c r="AL36" s="52">
        <f t="shared" si="19"/>
        <v>26</v>
      </c>
      <c r="AM36" s="31" t="str">
        <f t="shared" si="24"/>
        <v>Cornwall</v>
      </c>
      <c r="AN36" s="31">
        <f t="shared" si="9"/>
        <v>97.13</v>
      </c>
      <c r="AP36" s="61" t="str">
        <f>IF(L36="","",VLOOKUP($L36,classifications!$C:$E,3,FALSE))</f>
        <v>South West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96.38</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97.57</v>
      </c>
      <c r="G37" s="105"/>
      <c r="H37" s="60">
        <f t="shared" si="2"/>
        <v>97.57</v>
      </c>
      <c r="I37" s="112">
        <f>IF(H37="","",IF($I$8="A",(RANK(H37,H$11:H$363,1)+COUNTIF(H$11:H37,H37)-1),(RANK(H37,H$11:H$363)+COUNTIF(H$11:H37,H37)-1)))</f>
        <v>18</v>
      </c>
      <c r="J37" s="58"/>
      <c r="K37" s="51">
        <f t="shared" si="13"/>
        <v>27</v>
      </c>
      <c r="L37" s="59" t="str">
        <f t="shared" si="14"/>
        <v>Southend-on-Sea</v>
      </c>
      <c r="M37" s="153">
        <f t="shared" si="20"/>
        <v>97.1</v>
      </c>
      <c r="N37" s="148">
        <f t="shared" si="21"/>
        <v>97.1</v>
      </c>
      <c r="O37" s="131" t="str">
        <f t="shared" si="3"/>
        <v/>
      </c>
      <c r="P37" s="131">
        <f t="shared" si="15"/>
        <v>97.1</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Large Urban</v>
      </c>
      <c r="Y37" s="49" t="str">
        <f t="shared" si="6"/>
        <v/>
      </c>
      <c r="Z37" s="57" t="str">
        <f>IF(Y37="","",IF(I$8="A",(RANK(Y37,Y$11:Y$363,1)+COUNTIF(Y$11:Y37,Y37)-1),(RANK(Y37,Y$11:Y$363)+COUNTIF(Y$11:Y37,Y37)-1)))</f>
        <v/>
      </c>
      <c r="AA37" s="245" t="str">
        <f>IF(L37="","",VLOOKUP($L37,classifications!C:I,7,FALSE))</f>
        <v>Predominantly Urban</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0"/>
        <v>97.1</v>
      </c>
      <c r="AK37" s="57">
        <f>IF(AJ37="","",IF(I$8="A",(RANK(AJ37,AJ$11:AJ$363,1)+COUNTIF(AJ$11:AJ37,AJ37)-1),(RANK(AJ37,AJ$11:AJ$363)+COUNTIF(AJ$11:AJ37,AJ37)-1)))</f>
        <v>27</v>
      </c>
      <c r="AL37" s="52">
        <f t="shared" si="19"/>
        <v>27</v>
      </c>
      <c r="AM37" s="31" t="str">
        <f t="shared" si="24"/>
        <v>Southend-on-Sea</v>
      </c>
      <c r="AN37" s="31">
        <f t="shared" si="9"/>
        <v>97.1</v>
      </c>
      <c r="AP37" s="61" t="str">
        <f>IF(L37="","",VLOOKUP($L37,classifications!$C:$E,3,FALSE))</f>
        <v>East of England</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97.57</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94.33</v>
      </c>
      <c r="G38" s="105"/>
      <c r="H38" s="60" t="str">
        <f t="shared" si="2"/>
        <v/>
      </c>
      <c r="I38" s="112" t="str">
        <f>IF(H38="","",IF($I$8="A",(RANK(H38,H$11:H$363,1)+COUNTIF(H$11:H38,H38)-1),(RANK(H38,H$11:H$363)+COUNTIF(H$11:H38,H38)-1)))</f>
        <v/>
      </c>
      <c r="J38" s="58"/>
      <c r="K38" s="51">
        <f t="shared" si="13"/>
        <v>28</v>
      </c>
      <c r="L38" s="59" t="str">
        <f t="shared" si="14"/>
        <v>Brighton &amp; Hove</v>
      </c>
      <c r="M38" s="153">
        <f t="shared" si="20"/>
        <v>97.09</v>
      </c>
      <c r="N38" s="148">
        <f t="shared" si="21"/>
        <v>97.09</v>
      </c>
      <c r="O38" s="131" t="str">
        <f t="shared" si="3"/>
        <v/>
      </c>
      <c r="P38" s="131">
        <f t="shared" si="15"/>
        <v>97.09</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Large Urban</v>
      </c>
      <c r="Y38" s="49" t="str">
        <f t="shared" si="6"/>
        <v/>
      </c>
      <c r="Z38" s="57" t="str">
        <f>IF(Y38="","",IF(I$8="A",(RANK(Y38,Y$11:Y$363,1)+COUNTIF(Y$11:Y38,Y38)-1),(RANK(Y38,Y$11:Y$363)+COUNTIF(Y$11:Y38,Y38)-1)))</f>
        <v/>
      </c>
      <c r="AA38" s="245" t="str">
        <f>IF(L38="","",VLOOKUP($L38,classifications!C:I,7,FALSE))</f>
        <v>Predominantly Urban</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97.09</v>
      </c>
      <c r="AK38" s="57">
        <f>IF(AJ38="","",IF(I$8="A",(RANK(AJ38,AJ$11:AJ$363,1)+COUNTIF(AJ$11:AJ38,AJ38)-1),(RANK(AJ38,AJ$11:AJ$363)+COUNTIF(AJ$11:AJ38,AJ38)-1)))</f>
        <v>28</v>
      </c>
      <c r="AL38" s="52">
        <f t="shared" si="19"/>
        <v>28</v>
      </c>
      <c r="AM38" s="31" t="str">
        <f t="shared" si="24"/>
        <v>Brighton &amp; Hove</v>
      </c>
      <c r="AN38" s="31">
        <f t="shared" si="9"/>
        <v>97.09</v>
      </c>
      <c r="AP38" s="61" t="str">
        <f>IF(L38="","",VLOOKUP($L38,classifications!$C:$E,3,FALSE))</f>
        <v>South East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94.33</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98.69</v>
      </c>
      <c r="G39" s="105"/>
      <c r="H39" s="60" t="str">
        <f t="shared" si="2"/>
        <v/>
      </c>
      <c r="I39" s="112" t="str">
        <f>IF(H39="","",IF($I$8="A",(RANK(H39,H$11:H$363,1)+COUNTIF(H$11:H39,H39)-1),(RANK(H39,H$11:H$363)+COUNTIF(H$11:H39,H39)-1)))</f>
        <v/>
      </c>
      <c r="J39" s="58"/>
      <c r="K39" s="51">
        <f t="shared" si="13"/>
        <v>29</v>
      </c>
      <c r="L39" s="59" t="str">
        <f t="shared" si="14"/>
        <v>Reading</v>
      </c>
      <c r="M39" s="153">
        <f t="shared" si="20"/>
        <v>96.93</v>
      </c>
      <c r="N39" s="148">
        <f t="shared" si="21"/>
        <v>96.93</v>
      </c>
      <c r="O39" s="131" t="str">
        <f t="shared" si="3"/>
        <v/>
      </c>
      <c r="P39" s="131" t="str">
        <f t="shared" si="15"/>
        <v/>
      </c>
      <c r="Q39" s="131">
        <f t="shared" si="16"/>
        <v>96.93</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Large Urban</v>
      </c>
      <c r="Y39" s="49" t="str">
        <f t="shared" si="6"/>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0"/>
        <v>96.93</v>
      </c>
      <c r="AK39" s="57">
        <f>IF(AJ39="","",IF(I$8="A",(RANK(AJ39,AJ$11:AJ$363,1)+COUNTIF(AJ$11:AJ39,AJ39)-1),(RANK(AJ39,AJ$11:AJ$363)+COUNTIF(AJ$11:AJ39,AJ39)-1)))</f>
        <v>29</v>
      </c>
      <c r="AL39" s="52">
        <f t="shared" si="19"/>
        <v>29</v>
      </c>
      <c r="AM39" s="31" t="str">
        <f t="shared" si="24"/>
        <v>Reading</v>
      </c>
      <c r="AN39" s="31">
        <f t="shared" si="9"/>
        <v>96.93</v>
      </c>
      <c r="AP39" s="61" t="str">
        <f>IF(L39="","",VLOOKUP($L39,classifications!$C:$E,3,FALSE))</f>
        <v>South East</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98.69</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97.89</v>
      </c>
      <c r="G40" s="105"/>
      <c r="H40" s="60" t="str">
        <f t="shared" si="2"/>
        <v/>
      </c>
      <c r="I40" s="112" t="str">
        <f>IF(H40="","",IF($I$8="A",(RANK(H40,H$11:H$363,1)+COUNTIF(H$11:H40,H40)-1),(RANK(H40,H$11:H$363)+COUNTIF(H$11:H40,H40)-1)))</f>
        <v/>
      </c>
      <c r="J40" s="58"/>
      <c r="K40" s="51">
        <f t="shared" si="13"/>
        <v>30</v>
      </c>
      <c r="L40" s="59" t="str">
        <f t="shared" si="14"/>
        <v>Stockton-on-Tees</v>
      </c>
      <c r="M40" s="153">
        <f t="shared" si="20"/>
        <v>96.86</v>
      </c>
      <c r="N40" s="148">
        <f t="shared" si="21"/>
        <v>96.86</v>
      </c>
      <c r="O40" s="131" t="str">
        <f t="shared" si="3"/>
        <v/>
      </c>
      <c r="P40" s="131" t="str">
        <f t="shared" si="15"/>
        <v/>
      </c>
      <c r="Q40" s="131">
        <f t="shared" si="16"/>
        <v>96.86</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Large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96.86</v>
      </c>
      <c r="AK40" s="57">
        <f>IF(AJ40="","",IF(I$8="A",(RANK(AJ40,AJ$11:AJ$363,1)+COUNTIF(AJ$11:AJ40,AJ40)-1),(RANK(AJ40,AJ$11:AJ$363)+COUNTIF(AJ$11:AJ40,AJ40)-1)))</f>
        <v>30</v>
      </c>
      <c r="AL40" s="52">
        <f t="shared" si="19"/>
        <v>30</v>
      </c>
      <c r="AM40" s="31" t="str">
        <f t="shared" si="24"/>
        <v>Stockton-on-Tees</v>
      </c>
      <c r="AN40" s="31">
        <f t="shared" si="9"/>
        <v>96.86</v>
      </c>
      <c r="AP40" s="61" t="str">
        <f>IF(L40="","",VLOOKUP($L40,classifications!$C:$E,3,FALSE))</f>
        <v>NE</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97.89</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95.69</v>
      </c>
      <c r="G41" s="105"/>
      <c r="H41" s="60" t="str">
        <f t="shared" si="2"/>
        <v/>
      </c>
      <c r="I41" s="112" t="str">
        <f>IF(H41="","",IF($I$8="A",(RANK(H41,H$11:H$363,1)+COUNTIF(H$11:H41,H41)-1),(RANK(H41,H$11:H$363)+COUNTIF(H$11:H41,H41)-1)))</f>
        <v/>
      </c>
      <c r="J41" s="58"/>
      <c r="K41" s="51">
        <f t="shared" si="13"/>
        <v>31</v>
      </c>
      <c r="L41" s="59" t="str">
        <f t="shared" si="14"/>
        <v>Telford &amp; Wrekin</v>
      </c>
      <c r="M41" s="153">
        <f t="shared" si="20"/>
        <v>96.6</v>
      </c>
      <c r="N41" s="148">
        <f t="shared" si="21"/>
        <v>96.6</v>
      </c>
      <c r="O41" s="131" t="str">
        <f t="shared" si="3"/>
        <v/>
      </c>
      <c r="P41" s="131" t="str">
        <f t="shared" si="15"/>
        <v/>
      </c>
      <c r="Q41" s="131">
        <f t="shared" si="16"/>
        <v>96.6</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Other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96.6</v>
      </c>
      <c r="AK41" s="57">
        <f>IF(AJ41="","",IF(I$8="A",(RANK(AJ41,AJ$11:AJ$363,1)+COUNTIF(AJ$11:AJ41,AJ41)-1),(RANK(AJ41,AJ$11:AJ$363)+COUNTIF(AJ$11:AJ41,AJ41)-1)))</f>
        <v>31</v>
      </c>
      <c r="AL41" s="52">
        <f t="shared" si="19"/>
        <v>31</v>
      </c>
      <c r="AM41" s="31" t="str">
        <f t="shared" si="24"/>
        <v>Telford &amp; Wrekin</v>
      </c>
      <c r="AN41" s="31">
        <f t="shared" si="9"/>
        <v>96.6</v>
      </c>
      <c r="AP41" s="61" t="str">
        <f>IF(L41="","",VLOOKUP($L41,classifications!$C:$E,3,FALSE))</f>
        <v>West Midlands</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95.69</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98.3</v>
      </c>
      <c r="G42" s="105"/>
      <c r="H42" s="60" t="str">
        <f t="shared" si="2"/>
        <v/>
      </c>
      <c r="I42" s="112" t="str">
        <f>IF(H42="","",IF($I$8="A",(RANK(H42,H$11:H$363,1)+COUNTIF(H$11:H42,H42)-1),(RANK(H42,H$11:H$363)+COUNTIF(H$11:H42,H42)-1)))</f>
        <v/>
      </c>
      <c r="J42" s="58"/>
      <c r="K42" s="51">
        <f t="shared" si="13"/>
        <v>32</v>
      </c>
      <c r="L42" s="59" t="str">
        <f t="shared" si="14"/>
        <v>Luton</v>
      </c>
      <c r="M42" s="153">
        <f t="shared" si="20"/>
        <v>96.46</v>
      </c>
      <c r="N42" s="148">
        <f t="shared" si="21"/>
        <v>96.46</v>
      </c>
      <c r="O42" s="131" t="str">
        <f t="shared" si="3"/>
        <v/>
      </c>
      <c r="P42" s="131" t="str">
        <f t="shared" si="15"/>
        <v/>
      </c>
      <c r="Q42" s="131">
        <f t="shared" si="16"/>
        <v>96.46</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Other Urban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96.46</v>
      </c>
      <c r="AK42" s="57">
        <f>IF(AJ42="","",IF(I$8="A",(RANK(AJ42,AJ$11:AJ$363,1)+COUNTIF(AJ$11:AJ42,AJ42)-1),(RANK(AJ42,AJ$11:AJ$363)+COUNTIF(AJ$11:AJ42,AJ42)-1)))</f>
        <v>32</v>
      </c>
      <c r="AL42" s="52">
        <f t="shared" si="19"/>
        <v>32</v>
      </c>
      <c r="AM42" s="31" t="str">
        <f t="shared" si="24"/>
        <v>Luton</v>
      </c>
      <c r="AN42" s="31">
        <f t="shared" si="9"/>
        <v>96.46</v>
      </c>
      <c r="AP42" s="61" t="str">
        <f>IF(L42="","",VLOOKUP($L42,classifications!$C:$E,3,FALSE))</f>
        <v>East of England</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98.3</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97.09</v>
      </c>
      <c r="G43" s="105"/>
      <c r="H43" s="60">
        <f t="shared" si="2"/>
        <v>97.09</v>
      </c>
      <c r="I43" s="112">
        <f>IF(H43="","",IF($I$8="A",(RANK(H43,H$11:H$363,1)+COUNTIF(H$11:H43,H43)-1),(RANK(H43,H$11:H$363)+COUNTIF(H$11:H43,H43)-1)))</f>
        <v>28</v>
      </c>
      <c r="J43" s="58"/>
      <c r="K43" s="51">
        <f t="shared" si="13"/>
        <v>33</v>
      </c>
      <c r="L43" s="59" t="str">
        <f t="shared" si="14"/>
        <v>North East Lincolnshire</v>
      </c>
      <c r="M43" s="153">
        <f t="shared" si="20"/>
        <v>96.46</v>
      </c>
      <c r="N43" s="148">
        <f t="shared" si="21"/>
        <v>96.46</v>
      </c>
      <c r="O43" s="131" t="str">
        <f t="shared" si="3"/>
        <v/>
      </c>
      <c r="P43" s="131" t="str">
        <f t="shared" si="15"/>
        <v/>
      </c>
      <c r="Q43" s="131">
        <f t="shared" si="16"/>
        <v>96.46</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Other Urban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96.46</v>
      </c>
      <c r="AK43" s="57">
        <f>IF(AJ43="","",IF(I$8="A",(RANK(AJ43,AJ$11:AJ$363,1)+COUNTIF(AJ$11:AJ43,AJ43)-1),(RANK(AJ43,AJ$11:AJ$363)+COUNTIF(AJ$11:AJ43,AJ43)-1)))</f>
        <v>33</v>
      </c>
      <c r="AL43" s="52">
        <f t="shared" si="19"/>
        <v>33</v>
      </c>
      <c r="AM43" s="31" t="str">
        <f t="shared" si="24"/>
        <v>North East Lincolnshire</v>
      </c>
      <c r="AN43" s="31">
        <f t="shared" si="9"/>
        <v>96.46</v>
      </c>
      <c r="AP43" s="61" t="str">
        <f>IF(L43="","",VLOOKUP($L43,classifications!$C:$E,3,FALSE))</f>
        <v>Yorkshire &amp; Humberside</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97.09</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96.08</v>
      </c>
      <c r="G44" s="105"/>
      <c r="H44" s="60">
        <f t="shared" si="2"/>
        <v>96.08</v>
      </c>
      <c r="I44" s="112">
        <f>IF(H44="","",IF($I$8="A",(RANK(H44,H$11:H$363,1)+COUNTIF(H$11:H44,H44)-1),(RANK(H44,H$11:H$363)+COUNTIF(H$11:H44,H44)-1)))</f>
        <v>35</v>
      </c>
      <c r="J44" s="58"/>
      <c r="K44" s="51">
        <f t="shared" si="13"/>
        <v>34</v>
      </c>
      <c r="L44" s="59" t="str">
        <f t="shared" si="14"/>
        <v>Bournemouth</v>
      </c>
      <c r="M44" s="153">
        <f t="shared" si="20"/>
        <v>96.38</v>
      </c>
      <c r="N44" s="148">
        <f t="shared" si="21"/>
        <v>96.38</v>
      </c>
      <c r="O44" s="131" t="str">
        <f t="shared" si="3"/>
        <v/>
      </c>
      <c r="P44" s="131" t="str">
        <f t="shared" si="15"/>
        <v/>
      </c>
      <c r="Q44" s="131">
        <f t="shared" si="16"/>
        <v>96.38</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Large Urban</v>
      </c>
      <c r="Y44" s="49" t="str">
        <f t="shared" si="6"/>
        <v/>
      </c>
      <c r="Z44" s="57" t="str">
        <f>IF(Y44="","",IF(I$8="A",(RANK(Y44,Y$11:Y$363,1)+COUNTIF(Y$11:Y44,Y44)-1),(RANK(Y44,Y$11:Y$363)+COUNTIF(Y$11:Y44,Y44)-1)))</f>
        <v/>
      </c>
      <c r="AA44" s="245" t="str">
        <f>IF(L44="","",VLOOKUP($L44,classifications!C:I,7,FALSE))</f>
        <v>Predominantly Urban</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96.38</v>
      </c>
      <c r="AK44" s="57">
        <f>IF(AJ44="","",IF(I$8="A",(RANK(AJ44,AJ$11:AJ$363,1)+COUNTIF(AJ$11:AJ44,AJ44)-1),(RANK(AJ44,AJ$11:AJ$363)+COUNTIF(AJ$11:AJ44,AJ44)-1)))</f>
        <v>34</v>
      </c>
      <c r="AL44" s="52">
        <f t="shared" si="19"/>
        <v>34</v>
      </c>
      <c r="AM44" s="31" t="str">
        <f t="shared" si="24"/>
        <v>Bournemouth</v>
      </c>
      <c r="AN44" s="31">
        <f t="shared" si="9"/>
        <v>96.38</v>
      </c>
      <c r="AP44" s="61" t="str">
        <f>IF(L44="","",VLOOKUP($L44,classifications!$C:$E,3,FALSE))</f>
        <v>South West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96.08</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98.82</v>
      </c>
      <c r="G45" s="105"/>
      <c r="H45" s="60" t="str">
        <f t="shared" si="2"/>
        <v/>
      </c>
      <c r="I45" s="112" t="str">
        <f>IF(H45="","",IF($I$8="A",(RANK(H45,H$11:H$363,1)+COUNTIF(H$11:H45,H45)-1),(RANK(H45,H$11:H$363)+COUNTIF(H$11:H45,H45)-1)))</f>
        <v/>
      </c>
      <c r="J45" s="58"/>
      <c r="K45" s="51">
        <f t="shared" si="13"/>
        <v>35</v>
      </c>
      <c r="L45" s="59" t="str">
        <f t="shared" si="14"/>
        <v>Bristol</v>
      </c>
      <c r="M45" s="153">
        <f t="shared" si="20"/>
        <v>96.08</v>
      </c>
      <c r="N45" s="148">
        <f t="shared" si="21"/>
        <v>96.08</v>
      </c>
      <c r="O45" s="131" t="str">
        <f t="shared" si="3"/>
        <v/>
      </c>
      <c r="P45" s="131" t="str">
        <f t="shared" si="15"/>
        <v/>
      </c>
      <c r="Q45" s="131">
        <f t="shared" si="16"/>
        <v>96.08</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Large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96.08</v>
      </c>
      <c r="AK45" s="57">
        <f>IF(AJ45="","",IF(I$8="A",(RANK(AJ45,AJ$11:AJ$363,1)+COUNTIF(AJ$11:AJ45,AJ45)-1),(RANK(AJ45,AJ$11:AJ$363)+COUNTIF(AJ$11:AJ45,AJ45)-1)))</f>
        <v>35</v>
      </c>
      <c r="AL45" s="52">
        <f t="shared" si="19"/>
        <v>35</v>
      </c>
      <c r="AM45" s="31" t="str">
        <f t="shared" si="24"/>
        <v>Bristol</v>
      </c>
      <c r="AN45" s="31">
        <f t="shared" si="9"/>
        <v>96.08</v>
      </c>
      <c r="AP45" s="61" t="str">
        <f>IF(L45="","",VLOOKUP($L45,classifications!$C:$E,3,FALSE))</f>
        <v>South West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98.82</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97.55</v>
      </c>
      <c r="G46" s="105"/>
      <c r="H46" s="60" t="str">
        <f t="shared" si="2"/>
        <v/>
      </c>
      <c r="I46" s="112" t="str">
        <f>IF(H46="","",IF($I$8="A",(RANK(H46,H$11:H$363,1)+COUNTIF(H$11:H46,H46)-1),(RANK(H46,H$11:H$363)+COUNTIF(H$11:H46,H46)-1)))</f>
        <v/>
      </c>
      <c r="J46" s="58"/>
      <c r="K46" s="51">
        <f t="shared" si="13"/>
        <v>36</v>
      </c>
      <c r="L46" s="59" t="str">
        <f t="shared" si="14"/>
        <v>Hartlepool</v>
      </c>
      <c r="M46" s="153">
        <f t="shared" si="20"/>
        <v>96.06</v>
      </c>
      <c r="N46" s="148">
        <f t="shared" si="21"/>
        <v>96.06</v>
      </c>
      <c r="O46" s="131" t="str">
        <f t="shared" si="3"/>
        <v/>
      </c>
      <c r="P46" s="131" t="str">
        <f t="shared" si="15"/>
        <v/>
      </c>
      <c r="Q46" s="131">
        <f t="shared" si="16"/>
        <v>96.06</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Other Urban</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96.06</v>
      </c>
      <c r="AK46" s="57">
        <f>IF(AJ46="","",IF(I$8="A",(RANK(AJ46,AJ$11:AJ$363,1)+COUNTIF(AJ$11:AJ46,AJ46)-1),(RANK(AJ46,AJ$11:AJ$363)+COUNTIF(AJ$11:AJ46,AJ46)-1)))</f>
        <v>36</v>
      </c>
      <c r="AL46" s="52">
        <f t="shared" si="19"/>
        <v>36</v>
      </c>
      <c r="AM46" s="31" t="str">
        <f t="shared" si="24"/>
        <v>Hartlepool</v>
      </c>
      <c r="AN46" s="31">
        <f t="shared" si="9"/>
        <v>96.06</v>
      </c>
      <c r="AP46" s="61" t="str">
        <f>IF(L46="","",VLOOKUP($L46,classifications!$C:$E,3,FALSE))</f>
        <v>NE</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97.55</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98.5</v>
      </c>
      <c r="G47" s="105"/>
      <c r="H47" s="60" t="str">
        <f t="shared" si="2"/>
        <v/>
      </c>
      <c r="I47" s="112" t="str">
        <f>IF(H47="","",IF($I$8="A",(RANK(H47,H$11:H$363,1)+COUNTIF(H$11:H47,H47)-1),(RANK(H47,H$11:H$363)+COUNTIF(H$11:H47,H47)-1)))</f>
        <v/>
      </c>
      <c r="J47" s="58"/>
      <c r="K47" s="51">
        <f t="shared" si="13"/>
        <v>37</v>
      </c>
      <c r="L47" s="59" t="str">
        <f t="shared" si="14"/>
        <v>Plymouth</v>
      </c>
      <c r="M47" s="153">
        <f t="shared" si="20"/>
        <v>95.83</v>
      </c>
      <c r="N47" s="148">
        <f t="shared" si="21"/>
        <v>95.83</v>
      </c>
      <c r="O47" s="131" t="str">
        <f t="shared" si="3"/>
        <v/>
      </c>
      <c r="P47" s="131" t="str">
        <f t="shared" si="15"/>
        <v/>
      </c>
      <c r="Q47" s="131">
        <f t="shared" si="16"/>
        <v>95.83</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Other Urban</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0"/>
        <v>95.83</v>
      </c>
      <c r="AK47" s="57">
        <f>IF(AJ47="","",IF(I$8="A",(RANK(AJ47,AJ$11:AJ$363,1)+COUNTIF(AJ$11:AJ47,AJ47)-1),(RANK(AJ47,AJ$11:AJ$363)+COUNTIF(AJ$11:AJ47,AJ47)-1)))</f>
        <v>37</v>
      </c>
      <c r="AL47" s="52">
        <f t="shared" si="19"/>
        <v>37</v>
      </c>
      <c r="AM47" s="31" t="str">
        <f t="shared" si="24"/>
        <v>Plymouth</v>
      </c>
      <c r="AN47" s="31">
        <f t="shared" si="9"/>
        <v>95.83</v>
      </c>
      <c r="AP47" s="61" t="str">
        <f>IF(L47="","",VLOOKUP($L47,classifications!$C:$E,3,FALSE))</f>
        <v>South West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98.5</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97.86</v>
      </c>
      <c r="G48" s="105"/>
      <c r="H48" s="60" t="str">
        <f t="shared" si="2"/>
        <v/>
      </c>
      <c r="I48" s="112" t="str">
        <f>IF(H48="","",IF($I$8="A",(RANK(H48,H$11:H$363,1)+COUNTIF(H$11:H48,H48)-1),(RANK(H48,H$11:H$363)+COUNTIF(H$11:H48,H48)-1)))</f>
        <v/>
      </c>
      <c r="J48" s="58"/>
      <c r="K48" s="51">
        <f t="shared" si="13"/>
        <v>38</v>
      </c>
      <c r="L48" s="59" t="str">
        <f t="shared" si="14"/>
        <v>Halton</v>
      </c>
      <c r="M48" s="153">
        <f t="shared" si="20"/>
        <v>95.8</v>
      </c>
      <c r="N48" s="148">
        <f t="shared" si="21"/>
        <v>95.8</v>
      </c>
      <c r="O48" s="131" t="str">
        <f t="shared" si="3"/>
        <v/>
      </c>
      <c r="P48" s="131" t="str">
        <f t="shared" si="15"/>
        <v/>
      </c>
      <c r="Q48" s="131">
        <f t="shared" si="16"/>
        <v>95.8</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Other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95.8</v>
      </c>
      <c r="AK48" s="57">
        <f>IF(AJ48="","",IF(I$8="A",(RANK(AJ48,AJ$11:AJ$363,1)+COUNTIF(AJ$11:AJ48,AJ48)-1),(RANK(AJ48,AJ$11:AJ$363)+COUNTIF(AJ$11:AJ48,AJ48)-1)))</f>
        <v>38</v>
      </c>
      <c r="AL48" s="52">
        <f t="shared" si="19"/>
        <v>38</v>
      </c>
      <c r="AM48" s="31" t="str">
        <f t="shared" si="24"/>
        <v>Halton</v>
      </c>
      <c r="AN48" s="31">
        <f t="shared" si="9"/>
        <v>95.8</v>
      </c>
      <c r="AP48" s="61" t="str">
        <f>IF(L48="","",VLOOKUP($L48,classifications!$C:$E,3,FALSE))</f>
        <v>North West</v>
      </c>
      <c r="AQ48" s="62">
        <f t="shared" si="10"/>
        <v>95.8</v>
      </c>
      <c r="AR48" s="57">
        <f>IF(AQ48="","",IF(I$8="A",(RANK(AQ48,AQ$11:AQ$363,1)+COUNTIF(AQ$11:AQ48,AQ48)-1),(RANK(AQ48,AQ$11:AQ$363)+COUNTIF(AQ$11:AQ48,AQ48)-1)))</f>
        <v>4</v>
      </c>
      <c r="AS48" s="52" t="str">
        <f t="shared" si="23"/>
        <v/>
      </c>
      <c r="AT48" s="57" t="str">
        <f t="shared" si="11"/>
        <v/>
      </c>
      <c r="AU48" s="62" t="str">
        <f t="shared" si="12"/>
        <v/>
      </c>
      <c r="AX48" s="44">
        <f>HLOOKUP($AX$9&amp;$AX$10,Data!$A$1:$ZZ$2000,(MATCH($C48,Data!$A$1:$A$2000,0)),FALSE)</f>
        <v>97.86</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98.35</v>
      </c>
      <c r="G49" s="105"/>
      <c r="H49" s="60" t="str">
        <f t="shared" si="2"/>
        <v/>
      </c>
      <c r="I49" s="112" t="str">
        <f>IF(H49="","",IF($I$8="A",(RANK(H49,H$11:H$363,1)+COUNTIF(H$11:H49,H49)-1),(RANK(H49,H$11:H$363)+COUNTIF(H$11:H49,H49)-1)))</f>
        <v/>
      </c>
      <c r="J49" s="58"/>
      <c r="K49" s="51">
        <f t="shared" si="13"/>
        <v>39</v>
      </c>
      <c r="L49" s="59" t="str">
        <f t="shared" si="14"/>
        <v>Blackburn with Darwen</v>
      </c>
      <c r="M49" s="153">
        <f t="shared" si="20"/>
        <v>95.55</v>
      </c>
      <c r="N49" s="148">
        <f t="shared" si="21"/>
        <v>95.55</v>
      </c>
      <c r="O49" s="131" t="str">
        <f t="shared" si="3"/>
        <v/>
      </c>
      <c r="P49" s="131" t="str">
        <f t="shared" si="15"/>
        <v/>
      </c>
      <c r="Q49" s="131">
        <f t="shared" si="16"/>
        <v>95.55</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Other Urban</v>
      </c>
      <c r="Y49" s="49" t="str">
        <f t="shared" si="6"/>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0"/>
        <v>95.55</v>
      </c>
      <c r="AK49" s="57">
        <f>IF(AJ49="","",IF(I$8="A",(RANK(AJ49,AJ$11:AJ$363,1)+COUNTIF(AJ$11:AJ49,AJ49)-1),(RANK(AJ49,AJ$11:AJ$363)+COUNTIF(AJ$11:AJ49,AJ49)-1)))</f>
        <v>39</v>
      </c>
      <c r="AL49" s="52">
        <f t="shared" si="19"/>
        <v>39</v>
      </c>
      <c r="AM49" s="31" t="str">
        <f t="shared" si="24"/>
        <v>Blackburn with Darwen</v>
      </c>
      <c r="AN49" s="31">
        <f t="shared" si="9"/>
        <v>95.55</v>
      </c>
      <c r="AP49" s="61" t="str">
        <f>IF(L49="","",VLOOKUP($L49,classifications!$C:$E,3,FALSE))</f>
        <v>North West</v>
      </c>
      <c r="AQ49" s="62">
        <f t="shared" si="10"/>
        <v>95.55</v>
      </c>
      <c r="AR49" s="57">
        <f>IF(AQ49="","",IF(I$8="A",(RANK(AQ49,AQ$11:AQ$363,1)+COUNTIF(AQ$11:AQ49,AQ49)-1),(RANK(AQ49,AQ$11:AQ$363)+COUNTIF(AQ$11:AQ49,AQ49)-1)))</f>
        <v>5</v>
      </c>
      <c r="AS49" s="52" t="str">
        <f t="shared" si="23"/>
        <v/>
      </c>
      <c r="AT49" s="57" t="str">
        <f t="shared" si="11"/>
        <v/>
      </c>
      <c r="AU49" s="62" t="str">
        <f t="shared" si="12"/>
        <v/>
      </c>
      <c r="AX49" s="44">
        <f>HLOOKUP($AX$9&amp;$AX$10,Data!$A$1:$ZZ$2000,(MATCH($C49,Data!$A$1:$A$2000,0)),FALSE)</f>
        <v>98.35</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Durham</v>
      </c>
      <c r="M50" s="153">
        <f t="shared" si="20"/>
        <v>95.44</v>
      </c>
      <c r="N50" s="148">
        <f t="shared" si="21"/>
        <v>95.44</v>
      </c>
      <c r="O50" s="131" t="str">
        <f t="shared" si="3"/>
        <v/>
      </c>
      <c r="P50" s="131" t="str">
        <f t="shared" si="15"/>
        <v/>
      </c>
      <c r="Q50" s="131">
        <f t="shared" si="16"/>
        <v>95.44</v>
      </c>
      <c r="R50" s="127" t="str">
        <f t="shared" si="17"/>
        <v/>
      </c>
      <c r="S50" s="60" t="str">
        <f t="shared" si="4"/>
        <v/>
      </c>
      <c r="T50" s="231" t="str">
        <f>IF(L50="","",VLOOKUP(L50,classifications!C:K,9,FALSE))</f>
        <v>Sparse</v>
      </c>
      <c r="U50" s="238">
        <f t="shared" si="26"/>
        <v>95.44</v>
      </c>
      <c r="V50" s="239">
        <f>IF(U50="","",IF($I$8="A",(RANK(U50,U$11:U$363)+COUNTIF(U$11:U50,U50)-1),(RANK(U50,U$11:U$363,1)+COUNTIF(U$11:U50,U50)-1)))</f>
        <v>1</v>
      </c>
      <c r="W50" s="240"/>
      <c r="X50" s="61" t="str">
        <f>IF(L50="","",VLOOKUP($L50,classifications!$C:$J,6,FALSE))</f>
        <v>Rural-50</v>
      </c>
      <c r="Y50" s="49">
        <f t="shared" si="6"/>
        <v>95.44</v>
      </c>
      <c r="Z50" s="57">
        <f>IF(Y50="","",IF(I$8="A",(RANK(Y50,Y$11:Y$363,1)+COUNTIF(Y$11:Y50,Y50)-1),(RANK(Y50,Y$11:Y$363)+COUNTIF(Y$11:Y50,Y50)-1)))</f>
        <v>17</v>
      </c>
      <c r="AA50" s="245" t="str">
        <f>IF(L50="","",VLOOKUP($L50,classifications!C:I,7,FALSE))</f>
        <v>Predominantly Rural</v>
      </c>
      <c r="AB50" s="239">
        <f t="shared" si="7"/>
        <v>95.44</v>
      </c>
      <c r="AC50" s="239">
        <f>IF(AB50="","",IF($I$8="A",(RANK(AB50,AB$11:AB$363)+COUNTIF(AB$11:AB50,AB50)-1),(RANK(AB50,AB$11:AB$363,1)+COUNTIF(AB$11:AB50,AB50)-1)))</f>
        <v>4</v>
      </c>
      <c r="AD50" s="239"/>
      <c r="AE50" s="51" t="str">
        <f t="shared" si="25"/>
        <v/>
      </c>
      <c r="AG50" s="143"/>
      <c r="AH50" s="52"/>
      <c r="AI50" s="61" t="str">
        <f>IF(L50="","",VLOOKUP($L50,classifications!$C:$J,8,FALSE))</f>
        <v>Unitary</v>
      </c>
      <c r="AJ50" s="62">
        <f t="shared" si="0"/>
        <v>95.44</v>
      </c>
      <c r="AK50" s="57">
        <f>IF(AJ50="","",IF(I$8="A",(RANK(AJ50,AJ$11:AJ$363,1)+COUNTIF(AJ$11:AJ50,AJ50)-1),(RANK(AJ50,AJ$11:AJ$363)+COUNTIF(AJ$11:AJ50,AJ50)-1)))</f>
        <v>40</v>
      </c>
      <c r="AL50" s="52">
        <f t="shared" si="19"/>
        <v>40</v>
      </c>
      <c r="AM50" s="31" t="str">
        <f t="shared" si="24"/>
        <v>Durham</v>
      </c>
      <c r="AN50" s="31">
        <f t="shared" si="9"/>
        <v>95.44</v>
      </c>
      <c r="AP50" s="61" t="str">
        <f>IF(L50="","",VLOOKUP($L50,classifications!$C:$E,3,FALSE))</f>
        <v>NE</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95.74</v>
      </c>
      <c r="G51" s="105"/>
      <c r="H51" s="60" t="str">
        <f t="shared" si="2"/>
        <v/>
      </c>
      <c r="I51" s="112" t="str">
        <f>IF(H51="","",IF($I$8="A",(RANK(H51,H$11:H$363,1)+COUNTIF(H$11:H51,H51)-1),(RANK(H51,H$11:H$363)+COUNTIF(H$11:H51,H51)-1)))</f>
        <v/>
      </c>
      <c r="J51" s="58"/>
      <c r="K51" s="51">
        <f t="shared" si="13"/>
        <v>41</v>
      </c>
      <c r="L51" s="59" t="str">
        <f t="shared" si="14"/>
        <v>Redcar &amp; Cleveland</v>
      </c>
      <c r="M51" s="153">
        <f t="shared" si="20"/>
        <v>95.36</v>
      </c>
      <c r="N51" s="148">
        <f t="shared" si="21"/>
        <v>95.36</v>
      </c>
      <c r="O51" s="131" t="str">
        <f t="shared" si="3"/>
        <v/>
      </c>
      <c r="P51" s="131" t="str">
        <f t="shared" si="15"/>
        <v/>
      </c>
      <c r="Q51" s="131">
        <f t="shared" si="16"/>
        <v>95.36</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Significant Rural</v>
      </c>
      <c r="Y51" s="49">
        <f t="shared" si="6"/>
        <v>95.36</v>
      </c>
      <c r="Z51" s="57">
        <f>IF(Y51="","",IF(I$8="A",(RANK(Y51,Y$11:Y$363,1)+COUNTIF(Y$11:Y51,Y51)-1),(RANK(Y51,Y$11:Y$363)+COUNTIF(Y$11:Y51,Y51)-1)))</f>
        <v>18</v>
      </c>
      <c r="AA51" s="245" t="str">
        <f>IF(L51="","",VLOOKUP($L51,classifications!C:I,7,FALSE))</f>
        <v>Significant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95.36</v>
      </c>
      <c r="AK51" s="57">
        <f>IF(AJ51="","",IF(I$8="A",(RANK(AJ51,AJ$11:AJ$363,1)+COUNTIF(AJ$11:AJ51,AJ51)-1),(RANK(AJ51,AJ$11:AJ$363)+COUNTIF(AJ$11:AJ51,AJ51)-1)))</f>
        <v>41</v>
      </c>
      <c r="AL51" s="52">
        <f t="shared" si="19"/>
        <v>41</v>
      </c>
      <c r="AM51" s="31" t="str">
        <f t="shared" si="24"/>
        <v>Redcar &amp; Cleveland</v>
      </c>
      <c r="AN51" s="31">
        <f t="shared" si="9"/>
        <v>95.36</v>
      </c>
      <c r="AP51" s="61" t="str">
        <f>IF(L51="","",VLOOKUP($L51,classifications!$C:$E,3,FALSE))</f>
        <v>NE</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95.74</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96.95</v>
      </c>
      <c r="G52" s="105"/>
      <c r="H52" s="60" t="str">
        <f t="shared" si="2"/>
        <v/>
      </c>
      <c r="I52" s="112" t="str">
        <f>IF(H52="","",IF($I$8="A",(RANK(H52,H$11:H$363,1)+COUNTIF(H$11:H52,H52)-1),(RANK(H52,H$11:H$363)+COUNTIF(H$11:H52,H52)-1)))</f>
        <v/>
      </c>
      <c r="J52" s="58"/>
      <c r="K52" s="51">
        <f t="shared" si="13"/>
        <v>42</v>
      </c>
      <c r="L52" s="59" t="str">
        <f t="shared" si="14"/>
        <v>Peterborough</v>
      </c>
      <c r="M52" s="153">
        <f t="shared" si="20"/>
        <v>95.26</v>
      </c>
      <c r="N52" s="148">
        <f t="shared" si="21"/>
        <v>95.26</v>
      </c>
      <c r="O52" s="131" t="str">
        <f t="shared" si="3"/>
        <v/>
      </c>
      <c r="P52" s="131" t="str">
        <f t="shared" si="15"/>
        <v/>
      </c>
      <c r="Q52" s="131" t="str">
        <f t="shared" si="16"/>
        <v/>
      </c>
      <c r="R52" s="127">
        <f t="shared" si="17"/>
        <v>95.26</v>
      </c>
      <c r="S52" s="60" t="str">
        <f t="shared" si="4"/>
        <v/>
      </c>
      <c r="T52" s="231">
        <f>IF(L52="","",VLOOKUP(L52,classifications!C:K,9,FALSE))</f>
        <v>0</v>
      </c>
      <c r="U52" s="238" t="str">
        <f t="shared" si="26"/>
        <v/>
      </c>
      <c r="V52" s="239" t="str">
        <f>IF(U52="","",IF($I$8="A",(RANK(U52,U$11:U$363)+COUNTIF(U$11:U52,U52)-1),(RANK(U52,U$11:U$363,1)+COUNTIF(U$11:U52,U52)-1)))</f>
        <v/>
      </c>
      <c r="W52" s="240"/>
      <c r="X52" s="61" t="str">
        <f>IF(L52="","",VLOOKUP($L52,classifications!$C:$J,6,FALSE))</f>
        <v>Other Urban</v>
      </c>
      <c r="Y52" s="49" t="str">
        <f t="shared" si="6"/>
        <v/>
      </c>
      <c r="Z52" s="57" t="str">
        <f>IF(Y52="","",IF(I$8="A",(RANK(Y52,Y$11:Y$363,1)+COUNTIF(Y$11:Y52,Y52)-1),(RANK(Y52,Y$11:Y$363)+COUNTIF(Y$11:Y52,Y52)-1)))</f>
        <v/>
      </c>
      <c r="AA52" s="245" t="str">
        <f>IF(L52="","",VLOOKUP($L52,classifications!C:I,7,FALSE))</f>
        <v>Predominantly Rural</v>
      </c>
      <c r="AB52" s="239">
        <f t="shared" si="7"/>
        <v>95.26</v>
      </c>
      <c r="AC52" s="239">
        <f>IF(AB52="","",IF($I$8="A",(RANK(AB52,AB$11:AB$363)+COUNTIF(AB$11:AB52,AB52)-1),(RANK(AB52,AB$11:AB$363,1)+COUNTIF(AB$11:AB52,AB52)-1)))</f>
        <v>3</v>
      </c>
      <c r="AD52" s="239"/>
      <c r="AE52" s="51" t="str">
        <f t="shared" si="25"/>
        <v/>
      </c>
      <c r="AG52" s="143"/>
      <c r="AH52" s="52"/>
      <c r="AI52" s="61" t="str">
        <f>IF(L52="","",VLOOKUP($L52,classifications!$C:$J,8,FALSE))</f>
        <v>Unitary</v>
      </c>
      <c r="AJ52" s="62">
        <f t="shared" si="0"/>
        <v>95.26</v>
      </c>
      <c r="AK52" s="57">
        <f>IF(AJ52="","",IF(I$8="A",(RANK(AJ52,AJ$11:AJ$363,1)+COUNTIF(AJ$11:AJ52,AJ52)-1),(RANK(AJ52,AJ$11:AJ$363)+COUNTIF(AJ$11:AJ52,AJ52)-1)))</f>
        <v>42</v>
      </c>
      <c r="AL52" s="52">
        <f t="shared" si="19"/>
        <v>42</v>
      </c>
      <c r="AM52" s="31" t="str">
        <f t="shared" si="24"/>
        <v>Peterborough</v>
      </c>
      <c r="AN52" s="31">
        <f t="shared" si="9"/>
        <v>95.26</v>
      </c>
      <c r="AP52" s="61" t="str">
        <f>IF(L52="","",VLOOKUP($L52,classifications!$C:$E,3,FALSE))</f>
        <v>East of England</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96.95</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95.5</v>
      </c>
      <c r="G53" s="105"/>
      <c r="H53" s="60" t="str">
        <f t="shared" si="2"/>
        <v/>
      </c>
      <c r="I53" s="112" t="str">
        <f>IF(H53="","",IF($I$8="A",(RANK(H53,H$11:H$363,1)+COUNTIF(H$11:H53,H53)-1),(RANK(H53,H$11:H$363)+COUNTIF(H$11:H53,H53)-1)))</f>
        <v/>
      </c>
      <c r="J53" s="58"/>
      <c r="K53" s="51">
        <f t="shared" si="13"/>
        <v>43</v>
      </c>
      <c r="L53" s="59" t="str">
        <f t="shared" si="14"/>
        <v>Darlington</v>
      </c>
      <c r="M53" s="153">
        <f t="shared" si="20"/>
        <v>95.24</v>
      </c>
      <c r="N53" s="148">
        <f t="shared" si="21"/>
        <v>95.24</v>
      </c>
      <c r="O53" s="131" t="str">
        <f t="shared" si="3"/>
        <v/>
      </c>
      <c r="P53" s="131" t="str">
        <f t="shared" si="15"/>
        <v/>
      </c>
      <c r="Q53" s="131" t="str">
        <f t="shared" si="16"/>
        <v/>
      </c>
      <c r="R53" s="127">
        <f t="shared" si="17"/>
        <v>95.24</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Other Urban</v>
      </c>
      <c r="Y53" s="49" t="str">
        <f t="shared" si="6"/>
        <v/>
      </c>
      <c r="Z53" s="57" t="str">
        <f>IF(Y53="","",IF(I$8="A",(RANK(Y53,Y$11:Y$363,1)+COUNTIF(Y$11:Y53,Y53)-1),(RANK(Y53,Y$11:Y$363)+COUNTIF(Y$11:Y53,Y53)-1)))</f>
        <v/>
      </c>
      <c r="AA53" s="245" t="str">
        <f>IF(L53="","",VLOOKUP($L53,classifications!C:I,7,FALSE))</f>
        <v>Predominantly Rural</v>
      </c>
      <c r="AB53" s="239">
        <f t="shared" si="7"/>
        <v>95.24</v>
      </c>
      <c r="AC53" s="239">
        <f>IF(AB53="","",IF($I$8="A",(RANK(AB53,AB$11:AB$363)+COUNTIF(AB$11:AB53,AB53)-1),(RANK(AB53,AB$11:AB$363,1)+COUNTIF(AB$11:AB53,AB53)-1)))</f>
        <v>2</v>
      </c>
      <c r="AD53" s="239"/>
      <c r="AE53" s="51" t="str">
        <f t="shared" si="25"/>
        <v/>
      </c>
      <c r="AG53" s="143"/>
      <c r="AH53" s="52"/>
      <c r="AI53" s="61" t="str">
        <f>IF(L53="","",VLOOKUP($L53,classifications!$C:$J,8,FALSE))</f>
        <v>Unitary</v>
      </c>
      <c r="AJ53" s="62">
        <f t="shared" si="0"/>
        <v>95.24</v>
      </c>
      <c r="AK53" s="57">
        <f>IF(AJ53="","",IF(I$8="A",(RANK(AJ53,AJ$11:AJ$363,1)+COUNTIF(AJ$11:AJ53,AJ53)-1),(RANK(AJ53,AJ$11:AJ$363)+COUNTIF(AJ$11:AJ53,AJ53)-1)))</f>
        <v>43</v>
      </c>
      <c r="AL53" s="52">
        <f t="shared" si="19"/>
        <v>43</v>
      </c>
      <c r="AM53" s="31" t="str">
        <f t="shared" si="24"/>
        <v>Darlington</v>
      </c>
      <c r="AN53" s="31">
        <f t="shared" si="9"/>
        <v>95.24</v>
      </c>
      <c r="AP53" s="61" t="str">
        <f>IF(L53="","",VLOOKUP($L53,classifications!$C:$E,3,FALSE))</f>
        <v>NE</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95.5</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97.54</v>
      </c>
      <c r="G54" s="105"/>
      <c r="H54" s="60" t="str">
        <f t="shared" si="2"/>
        <v/>
      </c>
      <c r="I54" s="112" t="str">
        <f>IF(H54="","",IF($I$8="A",(RANK(H54,H$11:H$363,1)+COUNTIF(H$11:H54,H54)-1),(RANK(H54,H$11:H$363)+COUNTIF(H$11:H54,H54)-1)))</f>
        <v/>
      </c>
      <c r="J54" s="58"/>
      <c r="K54" s="51">
        <f t="shared" si="13"/>
        <v>44</v>
      </c>
      <c r="L54" s="59" t="str">
        <f t="shared" si="14"/>
        <v>Southampton</v>
      </c>
      <c r="M54" s="153">
        <f t="shared" si="20"/>
        <v>95.13</v>
      </c>
      <c r="N54" s="148">
        <f t="shared" si="21"/>
        <v>95.13</v>
      </c>
      <c r="O54" s="131" t="str">
        <f t="shared" si="3"/>
        <v/>
      </c>
      <c r="P54" s="131" t="str">
        <f t="shared" si="15"/>
        <v/>
      </c>
      <c r="Q54" s="131" t="str">
        <f t="shared" si="16"/>
        <v/>
      </c>
      <c r="R54" s="127">
        <f t="shared" si="17"/>
        <v>95.13</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Large Urban</v>
      </c>
      <c r="Y54" s="49" t="str">
        <f t="shared" si="6"/>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95.13</v>
      </c>
      <c r="AK54" s="57">
        <f>IF(AJ54="","",IF(I$8="A",(RANK(AJ54,AJ$11:AJ$363,1)+COUNTIF(AJ$11:AJ54,AJ54)-1),(RANK(AJ54,AJ$11:AJ$363)+COUNTIF(AJ$11:AJ54,AJ54)-1)))</f>
        <v>44</v>
      </c>
      <c r="AL54" s="52">
        <f t="shared" si="19"/>
        <v>44</v>
      </c>
      <c r="AM54" s="31" t="str">
        <f t="shared" si="24"/>
        <v>Southampton</v>
      </c>
      <c r="AN54" s="31">
        <f t="shared" si="9"/>
        <v>95.13</v>
      </c>
      <c r="AP54" s="61" t="str">
        <f>IF(L54="","",VLOOKUP($L54,classifications!$C:$E,3,FALSE))</f>
        <v>South East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97.54</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Medway</v>
      </c>
      <c r="M55" s="153">
        <f t="shared" si="20"/>
        <v>94.88</v>
      </c>
      <c r="N55" s="148">
        <f t="shared" si="21"/>
        <v>94.88</v>
      </c>
      <c r="O55" s="131" t="str">
        <f t="shared" si="3"/>
        <v/>
      </c>
      <c r="P55" s="131" t="str">
        <f t="shared" si="15"/>
        <v/>
      </c>
      <c r="Q55" s="131" t="str">
        <f t="shared" si="16"/>
        <v/>
      </c>
      <c r="R55" s="127">
        <f t="shared" si="17"/>
        <v>94.88</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Other Urban</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94.88</v>
      </c>
      <c r="AK55" s="57">
        <f>IF(AJ55="","",IF(I$8="A",(RANK(AJ55,AJ$11:AJ$363,1)+COUNTIF(AJ$11:AJ55,AJ55)-1),(RANK(AJ55,AJ$11:AJ$363)+COUNTIF(AJ$11:AJ55,AJ55)-1)))</f>
        <v>45</v>
      </c>
      <c r="AL55" s="52">
        <f t="shared" si="19"/>
        <v>45</v>
      </c>
      <c r="AM55" s="31" t="str">
        <f t="shared" si="24"/>
        <v>Medway</v>
      </c>
      <c r="AN55" s="31">
        <f t="shared" si="9"/>
        <v>94.88</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96.25</v>
      </c>
      <c r="G56" s="105"/>
      <c r="H56" s="60" t="str">
        <f t="shared" si="2"/>
        <v/>
      </c>
      <c r="I56" s="112" t="str">
        <f>IF(H56="","",IF($I$8="A",(RANK(H56,H$11:H$363,1)+COUNTIF(H$11:H56,H56)-1),(RANK(H56,H$11:H$363)+COUNTIF(H$11:H56,H56)-1)))</f>
        <v/>
      </c>
      <c r="J56" s="58"/>
      <c r="K56" s="51">
        <f t="shared" si="13"/>
        <v>46</v>
      </c>
      <c r="L56" s="59" t="str">
        <f t="shared" si="14"/>
        <v>Torbay</v>
      </c>
      <c r="M56" s="153">
        <f t="shared" si="20"/>
        <v>94.88</v>
      </c>
      <c r="N56" s="148">
        <f t="shared" si="21"/>
        <v>94.88</v>
      </c>
      <c r="O56" s="131" t="str">
        <f t="shared" si="3"/>
        <v/>
      </c>
      <c r="P56" s="131" t="str">
        <f t="shared" si="15"/>
        <v/>
      </c>
      <c r="Q56" s="131" t="str">
        <f t="shared" si="16"/>
        <v/>
      </c>
      <c r="R56" s="127">
        <f t="shared" si="17"/>
        <v>94.88</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Other Urban</v>
      </c>
      <c r="Y56" s="49" t="str">
        <f t="shared" si="6"/>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0"/>
        <v>94.88</v>
      </c>
      <c r="AK56" s="57">
        <f>IF(AJ56="","",IF(I$8="A",(RANK(AJ56,AJ$11:AJ$363,1)+COUNTIF(AJ$11:AJ56,AJ56)-1),(RANK(AJ56,AJ$11:AJ$363)+COUNTIF(AJ$11:AJ56,AJ56)-1)))</f>
        <v>46</v>
      </c>
      <c r="AL56" s="52">
        <f t="shared" si="19"/>
        <v>46</v>
      </c>
      <c r="AM56" s="31" t="str">
        <f t="shared" si="24"/>
        <v>Torbay</v>
      </c>
      <c r="AN56" s="31">
        <f t="shared" si="9"/>
        <v>94.88</v>
      </c>
      <c r="AP56" s="61" t="str">
        <f>IF(L56="","",VLOOKUP($L56,classifications!$C:$E,3,FALSE))</f>
        <v>South West</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96.25</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96.03</v>
      </c>
      <c r="G57" s="105"/>
      <c r="H57" s="60" t="str">
        <f t="shared" si="2"/>
        <v/>
      </c>
      <c r="I57" s="112" t="str">
        <f>IF(H57="","",IF($I$8="A",(RANK(H57,H$11:H$363,1)+COUNTIF(H$11:H57,H57)-1),(RANK(H57,H$11:H$363)+COUNTIF(H$11:H57,H57)-1)))</f>
        <v/>
      </c>
      <c r="J57" s="58"/>
      <c r="K57" s="51">
        <f t="shared" si="13"/>
        <v>47</v>
      </c>
      <c r="L57" s="59" t="str">
        <f t="shared" si="14"/>
        <v>Slough</v>
      </c>
      <c r="M57" s="153">
        <f t="shared" si="20"/>
        <v>94.82</v>
      </c>
      <c r="N57" s="148">
        <f t="shared" si="21"/>
        <v>94.82</v>
      </c>
      <c r="O57" s="131" t="str">
        <f t="shared" si="3"/>
        <v/>
      </c>
      <c r="P57" s="131" t="str">
        <f t="shared" si="15"/>
        <v/>
      </c>
      <c r="Q57" s="131" t="str">
        <f t="shared" si="16"/>
        <v/>
      </c>
      <c r="R57" s="127">
        <f t="shared" si="17"/>
        <v>94.82</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Other Urban</v>
      </c>
      <c r="Y57" s="49" t="str">
        <f t="shared" si="6"/>
        <v/>
      </c>
      <c r="Z57" s="57" t="str">
        <f>IF(Y57="","",IF(I$8="A",(RANK(Y57,Y$11:Y$363,1)+COUNTIF(Y$11:Y57,Y57)-1),(RANK(Y57,Y$11:Y$363)+COUNTIF(Y$11:Y57,Y57)-1)))</f>
        <v/>
      </c>
      <c r="AA57" s="245" t="str">
        <f>IF(L57="","",VLOOKUP($L57,classifications!C:I,7,FALSE))</f>
        <v>Predominantly Rural</v>
      </c>
      <c r="AB57" s="239">
        <f t="shared" si="7"/>
        <v>94.82</v>
      </c>
      <c r="AC57" s="239">
        <f>IF(AB57="","",IF($I$8="A",(RANK(AB57,AB$11:AB$363)+COUNTIF(AB$11:AB57,AB57)-1),(RANK(AB57,AB$11:AB$363,1)+COUNTIF(AB$11:AB57,AB57)-1)))</f>
        <v>1</v>
      </c>
      <c r="AD57" s="239"/>
      <c r="AE57" s="51" t="str">
        <f t="shared" si="25"/>
        <v/>
      </c>
      <c r="AG57" s="143"/>
      <c r="AH57" s="52"/>
      <c r="AI57" s="61" t="str">
        <f>IF(L57="","",VLOOKUP($L57,classifications!$C:$J,8,FALSE))</f>
        <v>Unitary</v>
      </c>
      <c r="AJ57" s="62">
        <f t="shared" si="0"/>
        <v>94.82</v>
      </c>
      <c r="AK57" s="57">
        <f>IF(AJ57="","",IF(I$8="A",(RANK(AJ57,AJ$11:AJ$363,1)+COUNTIF(AJ$11:AJ57,AJ57)-1),(RANK(AJ57,AJ$11:AJ$363)+COUNTIF(AJ$11:AJ57,AJ57)-1)))</f>
        <v>47</v>
      </c>
      <c r="AL57" s="52">
        <f t="shared" si="19"/>
        <v>47</v>
      </c>
      <c r="AM57" s="31" t="str">
        <f t="shared" si="24"/>
        <v>Slough</v>
      </c>
      <c r="AN57" s="31">
        <f t="shared" si="9"/>
        <v>94.82</v>
      </c>
      <c r="AP57" s="61" t="str">
        <f>IF(L57="","",VLOOKUP($L57,classifications!$C:$E,3,FALSE))</f>
        <v>South East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96.03</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98.72</v>
      </c>
      <c r="G58" s="105"/>
      <c r="H58" s="60" t="str">
        <f t="shared" si="2"/>
        <v/>
      </c>
      <c r="I58" s="112" t="str">
        <f>IF(H58="","",IF($I$8="A",(RANK(H58,H$11:H$363,1)+COUNTIF(H$11:H58,H58)-1),(RANK(H58,H$11:H$363)+COUNTIF(H$11:H58,H58)-1)))</f>
        <v/>
      </c>
      <c r="J58" s="58"/>
      <c r="K58" s="51">
        <f t="shared" si="13"/>
        <v>48</v>
      </c>
      <c r="L58" s="59" t="str">
        <f t="shared" si="14"/>
        <v>Leicester</v>
      </c>
      <c r="M58" s="153">
        <f t="shared" si="20"/>
        <v>94.81</v>
      </c>
      <c r="N58" s="148">
        <f t="shared" si="21"/>
        <v>94.81</v>
      </c>
      <c r="O58" s="131" t="str">
        <f t="shared" si="3"/>
        <v/>
      </c>
      <c r="P58" s="131" t="str">
        <f t="shared" si="15"/>
        <v/>
      </c>
      <c r="Q58" s="131" t="str">
        <f t="shared" si="16"/>
        <v/>
      </c>
      <c r="R58" s="127">
        <f t="shared" si="17"/>
        <v>94.81</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Large Urban</v>
      </c>
      <c r="Y58" s="49" t="str">
        <f t="shared" si="6"/>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0"/>
        <v>94.81</v>
      </c>
      <c r="AK58" s="57">
        <f>IF(AJ58="","",IF(I$8="A",(RANK(AJ58,AJ$11:AJ$363,1)+COUNTIF(AJ$11:AJ58,AJ58)-1),(RANK(AJ58,AJ$11:AJ$363)+COUNTIF(AJ$11:AJ58,AJ58)-1)))</f>
        <v>48</v>
      </c>
      <c r="AL58" s="52">
        <f t="shared" si="19"/>
        <v>48</v>
      </c>
      <c r="AM58" s="31" t="str">
        <f t="shared" si="24"/>
        <v>Leicester</v>
      </c>
      <c r="AN58" s="31">
        <f t="shared" si="9"/>
        <v>94.81</v>
      </c>
      <c r="AP58" s="61" t="str">
        <f>IF(L58="","",VLOOKUP($L58,classifications!$C:$E,3,FALSE))</f>
        <v>East Midlands</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98.72</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97.72</v>
      </c>
      <c r="G59" s="105"/>
      <c r="H59" s="60" t="str">
        <f t="shared" si="2"/>
        <v/>
      </c>
      <c r="I59" s="112" t="str">
        <f>IF(H59="","",IF($I$8="A",(RANK(H59,H$11:H$363,1)+COUNTIF(H$11:H59,H59)-1),(RANK(H59,H$11:H$363)+COUNTIF(H$11:H59,H59)-1)))</f>
        <v/>
      </c>
      <c r="J59" s="58"/>
      <c r="K59" s="51">
        <f t="shared" si="13"/>
        <v>49</v>
      </c>
      <c r="L59" s="59" t="str">
        <f t="shared" si="14"/>
        <v>Kingston upon Hull</v>
      </c>
      <c r="M59" s="153">
        <f t="shared" si="20"/>
        <v>94.21</v>
      </c>
      <c r="N59" s="148">
        <f t="shared" si="21"/>
        <v>94.21</v>
      </c>
      <c r="O59" s="131" t="str">
        <f t="shared" si="3"/>
        <v/>
      </c>
      <c r="P59" s="131" t="str">
        <f t="shared" si="15"/>
        <v/>
      </c>
      <c r="Q59" s="131" t="str">
        <f t="shared" si="16"/>
        <v/>
      </c>
      <c r="R59" s="127">
        <f t="shared" si="17"/>
        <v>94.21</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Large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94.21</v>
      </c>
      <c r="AK59" s="57">
        <f>IF(AJ59="","",IF(I$8="A",(RANK(AJ59,AJ$11:AJ$363,1)+COUNTIF(AJ$11:AJ59,AJ59)-1),(RANK(AJ59,AJ$11:AJ$363)+COUNTIF(AJ$11:AJ59,AJ59)-1)))</f>
        <v>49</v>
      </c>
      <c r="AL59" s="52">
        <f t="shared" si="19"/>
        <v>49</v>
      </c>
      <c r="AM59" s="31" t="str">
        <f t="shared" si="24"/>
        <v>Kingston upon Hull</v>
      </c>
      <c r="AN59" s="31">
        <f t="shared" si="9"/>
        <v>94.21</v>
      </c>
      <c r="AP59" s="61" t="str">
        <f>IF(L59="","",VLOOKUP($L59,classifications!$C:$E,3,FALSE))</f>
        <v>Yorkshire &amp; Humberside</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97.72</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97.97</v>
      </c>
      <c r="G60" s="105"/>
      <c r="H60" s="60" t="str">
        <f t="shared" si="2"/>
        <v/>
      </c>
      <c r="I60" s="112" t="str">
        <f>IF(H60="","",IF($I$8="A",(RANK(H60,H$11:H$363,1)+COUNTIF(H$11:H60,H60)-1),(RANK(H60,H$11:H$363)+COUNTIF(H$11:H60,H60)-1)))</f>
        <v/>
      </c>
      <c r="J60" s="58"/>
      <c r="K60" s="51">
        <f t="shared" si="13"/>
        <v>50</v>
      </c>
      <c r="L60" s="59" t="str">
        <f t="shared" si="14"/>
        <v>Portsmouth</v>
      </c>
      <c r="M60" s="153">
        <f t="shared" si="20"/>
        <v>93.95</v>
      </c>
      <c r="N60" s="148">
        <f t="shared" si="21"/>
        <v>93.95</v>
      </c>
      <c r="O60" s="131" t="str">
        <f t="shared" si="3"/>
        <v/>
      </c>
      <c r="P60" s="131" t="str">
        <f t="shared" si="15"/>
        <v/>
      </c>
      <c r="Q60" s="131" t="str">
        <f t="shared" si="16"/>
        <v/>
      </c>
      <c r="R60" s="127">
        <f t="shared" si="17"/>
        <v>93.95</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Large Urban</v>
      </c>
      <c r="Y60" s="49" t="str">
        <f t="shared" si="6"/>
        <v/>
      </c>
      <c r="Z60" s="57" t="str">
        <f>IF(Y60="","",IF(I$8="A",(RANK(Y60,Y$11:Y$363,1)+COUNTIF(Y$11:Y60,Y60)-1),(RANK(Y60,Y$11:Y$363)+COUNTIF(Y$11:Y60,Y60)-1)))</f>
        <v/>
      </c>
      <c r="AA60" s="245" t="str">
        <f>IF(L60="","",VLOOKUP($L60,classifications!C:I,7,FALSE))</f>
        <v>Predominantly Urban</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0"/>
        <v>93.95</v>
      </c>
      <c r="AK60" s="57">
        <f>IF(AJ60="","",IF(I$8="A",(RANK(AJ60,AJ$11:AJ$363,1)+COUNTIF(AJ$11:AJ60,AJ60)-1),(RANK(AJ60,AJ$11:AJ$363)+COUNTIF(AJ$11:AJ60,AJ60)-1)))</f>
        <v>50</v>
      </c>
      <c r="AL60" s="52">
        <f t="shared" si="19"/>
        <v>50</v>
      </c>
      <c r="AM60" s="31" t="str">
        <f t="shared" si="24"/>
        <v>Portsmouth</v>
      </c>
      <c r="AN60" s="31">
        <f t="shared" si="9"/>
        <v>93.95</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97.97</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97.4</v>
      </c>
      <c r="G61" s="105"/>
      <c r="H61" s="60">
        <f t="shared" si="2"/>
        <v>97.4</v>
      </c>
      <c r="I61" s="112">
        <f>IF(H61="","",IF($I$8="A",(RANK(H61,H$11:H$363,1)+COUNTIF(H$11:H61,H61)-1),(RANK(H61,H$11:H$363)+COUNTIF(H$11:H61,H61)-1)))</f>
        <v>23</v>
      </c>
      <c r="J61" s="58"/>
      <c r="K61" s="51">
        <f t="shared" si="13"/>
        <v>51</v>
      </c>
      <c r="L61" s="59" t="str">
        <f t="shared" si="14"/>
        <v>Stoke-on-Trent</v>
      </c>
      <c r="M61" s="153">
        <f t="shared" si="20"/>
        <v>93.85</v>
      </c>
      <c r="N61" s="148">
        <f t="shared" si="21"/>
        <v>93.85</v>
      </c>
      <c r="O61" s="131" t="str">
        <f t="shared" si="3"/>
        <v/>
      </c>
      <c r="P61" s="131" t="str">
        <f t="shared" si="15"/>
        <v/>
      </c>
      <c r="Q61" s="131" t="str">
        <f t="shared" si="16"/>
        <v/>
      </c>
      <c r="R61" s="127">
        <f t="shared" si="17"/>
        <v>93.85</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Large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93.85</v>
      </c>
      <c r="AK61" s="57">
        <f>IF(AJ61="","",IF(I$8="A",(RANK(AJ61,AJ$11:AJ$363,1)+COUNTIF(AJ$11:AJ61,AJ61)-1),(RANK(AJ61,AJ$11:AJ$363)+COUNTIF(AJ$11:AJ61,AJ61)-1)))</f>
        <v>51</v>
      </c>
      <c r="AL61" s="52">
        <f t="shared" si="19"/>
        <v>51</v>
      </c>
      <c r="AM61" s="31" t="str">
        <f t="shared" si="24"/>
        <v>Stoke-on-Trent</v>
      </c>
      <c r="AN61" s="31">
        <f t="shared" si="9"/>
        <v>93.85</v>
      </c>
      <c r="AP61" s="61" t="str">
        <f>IF(L61="","",VLOOKUP($L61,classifications!$C:$E,3,FALSE))</f>
        <v>West Midlands</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97.4</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97.73</v>
      </c>
      <c r="G62" s="105"/>
      <c r="H62" s="60" t="str">
        <f t="shared" si="2"/>
        <v/>
      </c>
      <c r="I62" s="112" t="str">
        <f>IF(H62="","",IF($I$8="A",(RANK(H62,H$11:H$363,1)+COUNTIF(H$11:H62,H62)-1),(RANK(H62,H$11:H$363)+COUNTIF(H$11:H62,H62)-1)))</f>
        <v/>
      </c>
      <c r="J62" s="58"/>
      <c r="K62" s="51">
        <f t="shared" si="13"/>
        <v>52</v>
      </c>
      <c r="L62" s="59" t="str">
        <f t="shared" si="14"/>
        <v>Middlesbrough</v>
      </c>
      <c r="M62" s="153">
        <f t="shared" si="20"/>
        <v>93.43</v>
      </c>
      <c r="N62" s="148">
        <f t="shared" si="21"/>
        <v>93.43</v>
      </c>
      <c r="O62" s="131" t="str">
        <f t="shared" si="3"/>
        <v/>
      </c>
      <c r="P62" s="131" t="str">
        <f t="shared" si="15"/>
        <v/>
      </c>
      <c r="Q62" s="131" t="str">
        <f t="shared" si="16"/>
        <v/>
      </c>
      <c r="R62" s="127">
        <f t="shared" si="17"/>
        <v>93.43</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Large Urban</v>
      </c>
      <c r="Y62" s="49" t="str">
        <f t="shared" si="6"/>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0"/>
        <v>93.43</v>
      </c>
      <c r="AK62" s="57">
        <f>IF(AJ62="","",IF(I$8="A",(RANK(AJ62,AJ$11:AJ$363,1)+COUNTIF(AJ$11:AJ62,AJ62)-1),(RANK(AJ62,AJ$11:AJ$363)+COUNTIF(AJ$11:AJ62,AJ62)-1)))</f>
        <v>52</v>
      </c>
      <c r="AL62" s="52">
        <f t="shared" si="19"/>
        <v>52</v>
      </c>
      <c r="AM62" s="31" t="str">
        <f t="shared" si="24"/>
        <v>Middlesbrough</v>
      </c>
      <c r="AN62" s="31">
        <f t="shared" si="9"/>
        <v>93.43</v>
      </c>
      <c r="AP62" s="61" t="str">
        <f>IF(L62="","",VLOOKUP($L62,classifications!$C:$E,3,FALSE))</f>
        <v>NE</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97.73</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98.14</v>
      </c>
      <c r="G63" s="105"/>
      <c r="H63" s="60" t="str">
        <f t="shared" si="2"/>
        <v/>
      </c>
      <c r="I63" s="112" t="str">
        <f>IF(H63="","",IF($I$8="A",(RANK(H63,H$11:H$363,1)+COUNTIF(H$11:H63,H63)-1),(RANK(H63,H$11:H$363)+COUNTIF(H$11:H63,H63)-1)))</f>
        <v/>
      </c>
      <c r="J63" s="58"/>
      <c r="K63" s="51">
        <f t="shared" si="13"/>
        <v>53</v>
      </c>
      <c r="L63" s="59" t="str">
        <f t="shared" si="14"/>
        <v>Derby</v>
      </c>
      <c r="M63" s="153">
        <f t="shared" si="20"/>
        <v>93.3</v>
      </c>
      <c r="N63" s="148">
        <f t="shared" si="21"/>
        <v>93.3</v>
      </c>
      <c r="O63" s="131" t="str">
        <f t="shared" si="3"/>
        <v/>
      </c>
      <c r="P63" s="131" t="str">
        <f t="shared" si="15"/>
        <v/>
      </c>
      <c r="Q63" s="131" t="str">
        <f t="shared" si="16"/>
        <v/>
      </c>
      <c r="R63" s="127">
        <f t="shared" si="17"/>
        <v>93.3</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Other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93.3</v>
      </c>
      <c r="AK63" s="57">
        <f>IF(AJ63="","",IF(I$8="A",(RANK(AJ63,AJ$11:AJ$363,1)+COUNTIF(AJ$11:AJ63,AJ63)-1),(RANK(AJ63,AJ$11:AJ$363)+COUNTIF(AJ$11:AJ63,AJ63)-1)))</f>
        <v>53</v>
      </c>
      <c r="AL63" s="52">
        <f t="shared" si="19"/>
        <v>53</v>
      </c>
      <c r="AM63" s="31" t="str">
        <f t="shared" si="24"/>
        <v>Derby</v>
      </c>
      <c r="AN63" s="31">
        <f t="shared" si="9"/>
        <v>93.3</v>
      </c>
      <c r="AP63" s="61" t="str">
        <f>IF(L63="","",VLOOKUP($L63,classifications!$C:$E,3,FALSE))</f>
        <v>East Midlands</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98.14</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98.1</v>
      </c>
      <c r="G64" s="105"/>
      <c r="H64" s="60" t="str">
        <f t="shared" si="2"/>
        <v/>
      </c>
      <c r="I64" s="112" t="str">
        <f>IF(H64="","",IF($I$8="A",(RANK(H64,H$11:H$363,1)+COUNTIF(H$11:H64,H64)-1),(RANK(H64,H$11:H$363)+COUNTIF(H$11:H64,H64)-1)))</f>
        <v/>
      </c>
      <c r="J64" s="58"/>
      <c r="K64" s="51">
        <f t="shared" si="13"/>
        <v>54</v>
      </c>
      <c r="L64" s="59" t="str">
        <f t="shared" si="14"/>
        <v>Nottingham</v>
      </c>
      <c r="M64" s="153">
        <f t="shared" si="20"/>
        <v>93.17</v>
      </c>
      <c r="N64" s="148">
        <f t="shared" si="21"/>
        <v>93.17</v>
      </c>
      <c r="O64" s="131" t="str">
        <f t="shared" si="3"/>
        <v/>
      </c>
      <c r="P64" s="131" t="str">
        <f t="shared" si="15"/>
        <v/>
      </c>
      <c r="Q64" s="131" t="str">
        <f t="shared" si="16"/>
        <v/>
      </c>
      <c r="R64" s="127">
        <f t="shared" si="17"/>
        <v>93.17</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Large Urban</v>
      </c>
      <c r="Y64" s="49" t="str">
        <f t="shared" si="6"/>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0"/>
        <v>93.17</v>
      </c>
      <c r="AK64" s="57">
        <f>IF(AJ64="","",IF(I$8="A",(RANK(AJ64,AJ$11:AJ$363,1)+COUNTIF(AJ$11:AJ64,AJ64)-1),(RANK(AJ64,AJ$11:AJ$363)+COUNTIF(AJ$11:AJ64,AJ64)-1)))</f>
        <v>54</v>
      </c>
      <c r="AL64" s="52">
        <f t="shared" si="19"/>
        <v>54</v>
      </c>
      <c r="AM64" s="31" t="str">
        <f t="shared" si="24"/>
        <v>Nottingham</v>
      </c>
      <c r="AN64" s="31">
        <f t="shared" si="9"/>
        <v>93.17</v>
      </c>
      <c r="AP64" s="61" t="str">
        <f>IF(L64="","",VLOOKUP($L64,classifications!$C:$E,3,FALSE))</f>
        <v>East Midlands</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98.1</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98.24</v>
      </c>
      <c r="G65" s="105"/>
      <c r="H65" s="60" t="str">
        <f t="shared" si="2"/>
        <v/>
      </c>
      <c r="I65" s="112" t="str">
        <f>IF(H65="","",IF($I$8="A",(RANK(H65,H$11:H$363,1)+COUNTIF(H$11:H65,H65)-1),(RANK(H65,H$11:H$363)+COUNTIF(H$11:H65,H65)-1)))</f>
        <v/>
      </c>
      <c r="J65" s="58"/>
      <c r="K65" s="51">
        <f t="shared" si="13"/>
        <v>55</v>
      </c>
      <c r="L65" s="59" t="str">
        <f t="shared" si="14"/>
        <v>Blackpool</v>
      </c>
      <c r="M65" s="153">
        <f t="shared" si="20"/>
        <v>93.09</v>
      </c>
      <c r="N65" s="148">
        <f t="shared" si="21"/>
        <v>93.09</v>
      </c>
      <c r="O65" s="131" t="str">
        <f t="shared" si="3"/>
        <v/>
      </c>
      <c r="P65" s="131" t="str">
        <f t="shared" si="15"/>
        <v/>
      </c>
      <c r="Q65" s="131" t="str">
        <f t="shared" si="16"/>
        <v/>
      </c>
      <c r="R65" s="127">
        <f t="shared" si="17"/>
        <v>93.09</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Large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0"/>
        <v>93.09</v>
      </c>
      <c r="AK65" s="57">
        <f>IF(AJ65="","",IF(I$8="A",(RANK(AJ65,AJ$11:AJ$363,1)+COUNTIF(AJ$11:AJ65,AJ65)-1),(RANK(AJ65,AJ$11:AJ$363)+COUNTIF(AJ$11:AJ65,AJ65)-1)))</f>
        <v>55</v>
      </c>
      <c r="AL65" s="52">
        <f t="shared" si="19"/>
        <v>55</v>
      </c>
      <c r="AM65" s="31" t="str">
        <f t="shared" si="24"/>
        <v>Blackpool</v>
      </c>
      <c r="AN65" s="31">
        <f t="shared" si="9"/>
        <v>93.09</v>
      </c>
      <c r="AP65" s="61" t="str">
        <f>IF(L65="","",VLOOKUP($L65,classifications!$C:$E,3,FALSE))</f>
        <v>North West</v>
      </c>
      <c r="AQ65" s="62">
        <f t="shared" si="10"/>
        <v>93.09</v>
      </c>
      <c r="AR65" s="57">
        <f>IF(AQ65="","",IF(I$8="A",(RANK(AQ65,AQ$11:AQ$363,1)+COUNTIF(AQ$11:AQ65,AQ65)-1),(RANK(AQ65,AQ$11:AQ$363)+COUNTIF(AQ$11:AQ65,AQ65)-1)))</f>
        <v>6</v>
      </c>
      <c r="AS65" s="52" t="str">
        <f t="shared" si="23"/>
        <v/>
      </c>
      <c r="AT65" s="57" t="str">
        <f t="shared" si="11"/>
        <v/>
      </c>
      <c r="AU65" s="62" t="str">
        <f t="shared" si="12"/>
        <v/>
      </c>
      <c r="AX65" s="44">
        <f>HLOOKUP($AX$9&amp;$AX$10,Data!$A$1:$ZZ$2000,(MATCH($C65,Data!$A$1:$A$2000,0)),FALSE)</f>
        <v>98.24</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98.05</v>
      </c>
      <c r="G66" s="105"/>
      <c r="H66" s="60">
        <f t="shared" si="2"/>
        <v>98.05</v>
      </c>
      <c r="I66" s="112">
        <f>IF(H66="","",IF($I$8="A",(RANK(H66,H$11:H$363,1)+COUNTIF(H$11:H66,H66)-1),(RANK(H66,H$11:H$363)+COUNTIF(H$11:H66,H66)-1)))</f>
        <v>10</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98.05</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97.64</v>
      </c>
      <c r="G67" s="105"/>
      <c r="H67" s="60">
        <f t="shared" si="2"/>
        <v>97.64</v>
      </c>
      <c r="I67" s="112">
        <f>IF(H67="","",IF($I$8="A",(RANK(H67,H$11:H$363,1)+COUNTIF(H$11:H67,H67)-1),(RANK(H67,H$11:H$363)+COUNTIF(H$11:H67,H67)-1)))</f>
        <v>14</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97.64</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96.59</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96.59</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98.12</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98.12</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99.26</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99.26</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97.65</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97.65</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1"/>
        <v>97.92</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97.92</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98.25</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98.25</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93.17</v>
      </c>
      <c r="G74" s="105"/>
      <c r="H74" s="60">
        <f t="shared" si="2"/>
        <v>93.17</v>
      </c>
      <c r="I74" s="112">
        <f>IF(H74="","",IF($I$8="A",(RANK(H74,H$11:H$363,1)+COUNTIF(H$11:H74,H74)-1),(RANK(H74,H$11:H$363)+COUNTIF(H$11:H74,H74)-1)))</f>
        <v>54</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93.17</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97.31</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97.31</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97.98</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97.98</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97.45</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97.45</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97.13</v>
      </c>
      <c r="G78" s="105"/>
      <c r="H78" s="60">
        <f t="shared" si="28"/>
        <v>97.13</v>
      </c>
      <c r="I78" s="112">
        <f>IF(H78="","",IF($I$8="A",(RANK(H78,H$11:H$363,1)+COUNTIF(H$11:H78,H78)-1),(RANK(H78,H$11:H$363)+COUNTIF(H$11:H78,H78)-1)))</f>
        <v>26</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97.13</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98.9</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98.9</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95.44</v>
      </c>
      <c r="G80" s="105"/>
      <c r="H80" s="60">
        <f t="shared" si="28"/>
        <v>95.44</v>
      </c>
      <c r="I80" s="112">
        <f>IF(H80="","",IF($I$8="A",(RANK(H80,H$11:H$363,1)+COUNTIF(H$11:H80,H80)-1),(RANK(H80,H$11:H$363)+COUNTIF(H$11:H80,H80)-1)))</f>
        <v>40</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95.44</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95.59</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95.59</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98.7</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98.7</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98.25</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98.25</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96.21</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96.21</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97.74</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97.74</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95.24</v>
      </c>
      <c r="G87" s="105"/>
      <c r="H87" s="60">
        <f t="shared" si="28"/>
        <v>95.24</v>
      </c>
      <c r="I87" s="112">
        <f>IF(H87="","",IF($I$8="A",(RANK(H87,H$11:H$363,1)+COUNTIF(H$11:H87,H87)-1),(RANK(H87,H$11:H$363)+COUNTIF(H$11:H87,H87)-1)))</f>
        <v>43</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95.24</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97.06</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97.06</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98.28</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98.28</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93.3</v>
      </c>
      <c r="G90" s="105"/>
      <c r="H90" s="60">
        <f t="shared" si="28"/>
        <v>93.3</v>
      </c>
      <c r="I90" s="112">
        <f>IF(H90="","",IF($I$8="A",(RANK(H90,H$11:H$363,1)+COUNTIF(H$11:H90,H90)-1),(RANK(H90,H$11:H$363)+COUNTIF(H$11:H90,H90)-1)))</f>
        <v>53</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93.3</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98.27</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98.27</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93.83</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93.83</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97.74</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97.74</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97.76</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97.76</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96.76</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96.76</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98.54</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98.54</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98.56</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98.56</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98.4</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98.4</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98.8</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98.8</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98.13</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98.13</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97.27</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97.27</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97.7</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97.7</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97.58</v>
      </c>
      <c r="G106" s="105"/>
      <c r="H106" s="60">
        <f t="shared" si="28"/>
        <v>97.58</v>
      </c>
      <c r="I106" s="112">
        <f>IF(H106="","",IF($I$8="A",(RANK(H106,H$11:H$363,1)+COUNTIF(H$11:H106,H106)-1),(RANK(H106,H$11:H$363)+COUNTIF(H$11:H106,H106)-1)))</f>
        <v>15</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97.58</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98.21</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98.21</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96.97</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96.97</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98.51</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98.51</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98.83</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98.83</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98.8</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98.8</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94.86</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94.86</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97.62</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97.62</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98.75</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98.75</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97.23</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97.23</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96.5</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96.5</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98.66</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98.66</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97.71</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97.71</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97.12</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97.12</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98.26</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98.26</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97.82</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97.82</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96.19</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96.19</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98.35</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98.35</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96.93</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96.93</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95.6</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95.6</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96.77</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96.77</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96.9</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96.9</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93.14</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93.14</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99.04</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99.04</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93.55</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93.55</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95.8</v>
      </c>
      <c r="G134" s="105"/>
      <c r="H134" s="60">
        <f t="shared" si="28"/>
        <v>95.8</v>
      </c>
      <c r="I134" s="112">
        <f>IF(H134="","",IF($I$8="A",(RANK(H134,H$11:H$363,1)+COUNTIF(H$11:H134,H134)-1),(RANK(H134,H$11:H$363)+COUNTIF(H$11:H134,H134)-1)))</f>
        <v>38</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95.8</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98.43</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98.43</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96.29</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96.29</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98.56</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98.56</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95.07</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95.07</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95.67</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95.67</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98.56</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98.56</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97.5</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97.5</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98.69</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98.69</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96.06</v>
      </c>
      <c r="G144" s="105"/>
      <c r="H144" s="60">
        <f t="shared" si="52"/>
        <v>96.06</v>
      </c>
      <c r="I144" s="112">
        <f>IF(H144="","",IF($I$8="A",(RANK(H144,H$11:H$363,1)+COUNTIF(H$11:H144,H144)-1),(RANK(H144,H$11:H$363)+COUNTIF(H$11:H144,H144)-1)))</f>
        <v>36</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96.06</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96.33</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96.33</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97.06</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97.06</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97.14</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97.14</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98.4</v>
      </c>
      <c r="G148" s="105"/>
      <c r="H148" s="60">
        <f t="shared" si="52"/>
        <v>98.4</v>
      </c>
      <c r="I148" s="112">
        <f>IF(H148="","",IF($I$8="A",(RANK(H148,H$11:H$363,1)+COUNTIF(H$11:H148,H148)-1),(RANK(H148,H$11:H$363)+COUNTIF(H$11:H148,H148)-1)))</f>
        <v>5</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98.4</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97.66</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97.66</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98.24</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98.24</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97.88</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97.88</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97.99</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97.99</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98.36</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98.36</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96.65</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96.65</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f>VLOOKUP(C156,classifications!C:K,9,FALSE)</f>
        <v>0</v>
      </c>
      <c r="F156" s="59">
        <f t="shared" si="51"/>
        <v>98.28</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98.28</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94.44</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94.44</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95.94</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95.94</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97.7</v>
      </c>
      <c r="G159" s="105"/>
      <c r="H159" s="60">
        <f t="shared" si="52"/>
        <v>97.7</v>
      </c>
      <c r="I159" s="112">
        <f>IF(H159="","",IF($I$8="A",(RANK(H159,H$11:H$363,1)+COUNTIF(H$11:H159,H159)-1),(RANK(H159,H$11:H$363)+COUNTIF(H$11:H159,H159)-1)))</f>
        <v>13</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97.7</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f t="shared" si="51"/>
        <v>97.64</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f>HLOOKUP($AX$9&amp;$AX$10,Data!$A$1:$ZZ$2000,(MATCH($C160,Data!$A$1:$A$2000,0)),FALSE)</f>
        <v>97.64</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95.78</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95.78</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97.04</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97.04</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97.85</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97.85</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97.07</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97.07</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94.21</v>
      </c>
      <c r="G166" s="105"/>
      <c r="H166" s="60">
        <f t="shared" si="52"/>
        <v>94.21</v>
      </c>
      <c r="I166" s="112">
        <f>IF(H166="","",IF($I$8="A",(RANK(H166,H$11:H$363,1)+COUNTIF(H$11:H166,H166)-1),(RANK(H166,H$11:H$363)+COUNTIF(H$11:H166,H166)-1)))</f>
        <v>49</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94.21</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98.62</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98.62</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94.82</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94.82</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94.66</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94.66</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94.54</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94.54</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96.84</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96.84</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95.73</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95.73</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94.81</v>
      </c>
      <c r="G174" s="105"/>
      <c r="H174" s="60">
        <f t="shared" si="52"/>
        <v>94.81</v>
      </c>
      <c r="I174" s="112">
        <f>IF(H174="","",IF($I$8="A",(RANK(H174,H$11:H$363,1)+COUNTIF(H$11:H174,H174)-1),(RANK(H174,H$11:H$363)+COUNTIF(H$11:H174,H174)-1)))</f>
        <v>48</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94.81</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98.37</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98.37</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94.14</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94.14</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f>VLOOKUP(C178,classifications!C:K,9,FALSE)</f>
        <v>0</v>
      </c>
      <c r="F178" s="59">
        <f t="shared" si="51"/>
        <v>98.87</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98.87</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96.6</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96.6</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94.6</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94.6</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96.46</v>
      </c>
      <c r="G182" s="105"/>
      <c r="H182" s="60">
        <f t="shared" si="52"/>
        <v>96.46</v>
      </c>
      <c r="I182" s="112">
        <f>IF(H182="","",IF($I$8="A",(RANK(H182,H$11:H$363,1)+COUNTIF(H$11:H182,H182)-1),(RANK(H182,H$11:H$363)+COUNTIF(H$11:H182,H182)-1)))</f>
        <v>32</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96.46</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98.31</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98.31</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98.11</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98.11</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98.56</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98.56</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91.69</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91.69</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96.97</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96.97</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97.7</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97.7</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97.63</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97.63</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97.12</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97.12</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97.57</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97.57</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98.16</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98.16</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98.13</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98.13</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93.43</v>
      </c>
      <c r="G194" s="105"/>
      <c r="H194" s="60">
        <f t="shared" si="52"/>
        <v>93.43</v>
      </c>
      <c r="I194" s="112">
        <f>IF(H194="","",IF($I$8="A",(RANK(H194,H$11:H$363,1)+COUNTIF(H$11:H194,H194)-1),(RANK(H194,H$11:H$363)+COUNTIF(H$11:H194,H194)-1)))</f>
        <v>52</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93.43</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97.53</v>
      </c>
      <c r="G195" s="105"/>
      <c r="H195" s="60">
        <f t="shared" si="52"/>
        <v>97.53</v>
      </c>
      <c r="I195" s="112">
        <f>IF(H195="","",IF($I$8="A",(RANK(H195,H$11:H$363,1)+COUNTIF(H$11:H195,H195)-1),(RANK(H195,H$11:H$363)+COUNTIF(H$11:H195,H195)-1)))</f>
        <v>19</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97.53</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99.22</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99.22</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98.94</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98.94</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97.19</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97.19</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96.91</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96.91</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96.64</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96.64</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92.51</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92.51</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96.81</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96.81</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97.87</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97.87</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97.19</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97.19</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96.46</v>
      </c>
      <c r="G206" s="105"/>
      <c r="H206" s="60">
        <f t="shared" si="75"/>
        <v>96.46</v>
      </c>
      <c r="I206" s="112">
        <f>IF(H206="","",IF($I$8="A",(RANK(H206,H$11:H$363,1)+COUNTIF(H$11:H206,H206)-1),(RANK(H206,H$11:H$363)+COUNTIF(H$11:H206,H206)-1)))</f>
        <v>33</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96.46</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97.81</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97.81</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99.16</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99.16</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97.58</v>
      </c>
      <c r="G209" s="105"/>
      <c r="H209" s="60">
        <f t="shared" si="75"/>
        <v>97.58</v>
      </c>
      <c r="I209" s="112">
        <f>IF(H209="","",IF($I$8="A",(RANK(H209,H$11:H$363,1)+COUNTIF(H$11:H209,H209)-1),(RANK(H209,H$11:H$363)+COUNTIF(H$11:H209,H209)-1)))</f>
        <v>16</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97.58</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98.08</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98.08</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97.47</v>
      </c>
      <c r="G211" s="105"/>
      <c r="H211" s="60">
        <f t="shared" si="75"/>
        <v>97.47</v>
      </c>
      <c r="I211" s="112">
        <f>IF(H211="","",IF($I$8="A",(RANK(H211,H$11:H$363,1)+COUNTIF(H$11:H211,H211)-1),(RANK(H211,H$11:H$363)+COUNTIF(H$11:H211,H211)-1)))</f>
        <v>21</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97.47</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96.49</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96.49</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97.96</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97.96</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97.42</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97.42</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96.3</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96.3</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97.46</v>
      </c>
      <c r="G218" s="105"/>
      <c r="H218" s="60">
        <f t="shared" si="75"/>
        <v>97.46</v>
      </c>
      <c r="I218" s="112">
        <f>IF(H218="","",IF($I$8="A",(RANK(H218,H$11:H$363,1)+COUNTIF(H$11:H218,H218)-1),(RANK(H218,H$11:H$363)+COUNTIF(H$11:H218,H218)-1)))</f>
        <v>22</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97.46</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94.98</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94.98</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97.05</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97.05</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98.53</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98.53</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93.77</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93.77</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96.84</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96.84</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95.9</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95.9</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95.26</v>
      </c>
      <c r="G227" s="105"/>
      <c r="H227" s="60">
        <f t="shared" si="75"/>
        <v>95.26</v>
      </c>
      <c r="I227" s="112">
        <f>IF(H227="","",IF($I$8="A",(RANK(H227,H$11:H$363,1)+COUNTIF(H$11:H227,H227)-1),(RANK(H227,H$11:H$363)+COUNTIF(H$11:H227,H227)-1)))</f>
        <v>42</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95.26</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95.83</v>
      </c>
      <c r="G228" s="105"/>
      <c r="H228" s="60">
        <f t="shared" si="75"/>
        <v>95.83</v>
      </c>
      <c r="I228" s="112">
        <f>IF(H228="","",IF($I$8="A",(RANK(H228,H$11:H$363,1)+COUNTIF(H$11:H228,H228)-1),(RANK(H228,H$11:H$363)+COUNTIF(H$11:H228,H228)-1)))</f>
        <v>37</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95.83</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98.12</v>
      </c>
      <c r="G229" s="105"/>
      <c r="H229" s="60">
        <f t="shared" si="75"/>
        <v>98.12</v>
      </c>
      <c r="I229" s="112">
        <f>IF(H229="","",IF($I$8="A",(RANK(H229,H$11:H$363,1)+COUNTIF(H$11:H229,H229)-1),(RANK(H229,H$11:H$363)+COUNTIF(H$11:H229,H229)-1)))</f>
        <v>8</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98.12</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93.95</v>
      </c>
      <c r="G230" s="105"/>
      <c r="H230" s="60">
        <f t="shared" si="75"/>
        <v>93.95</v>
      </c>
      <c r="I230" s="112">
        <f>IF(H230="","",IF($I$8="A",(RANK(H230,H$11:H$363,1)+COUNTIF(H$11:H230,H230)-1),(RANK(H230,H$11:H$363)+COUNTIF(H$11:H230,H230)-1)))</f>
        <v>50</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93.95</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94.55</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94.55</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97.9</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97.9</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96.93</v>
      </c>
      <c r="G233" s="105"/>
      <c r="H233" s="60">
        <f t="shared" si="75"/>
        <v>96.93</v>
      </c>
      <c r="I233" s="112">
        <f>IF(H233="","",IF($I$8="A",(RANK(H233,H$11:H$363,1)+COUNTIF(H$11:H233,H233)-1),(RANK(H233,H$11:H$363)+COUNTIF(H$11:H233,H233)-1)))</f>
        <v>29</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96.93</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96.61</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96.61</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95.36</v>
      </c>
      <c r="G235" s="105"/>
      <c r="H235" s="60">
        <f t="shared" si="75"/>
        <v>95.36</v>
      </c>
      <c r="I235" s="112">
        <f>IF(H235="","",IF($I$8="A",(RANK(H235,H$11:H$363,1)+COUNTIF(H$11:H235,H235)-1),(RANK(H235,H$11:H$363)+COUNTIF(H$11:H235,H235)-1)))</f>
        <v>41</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95.36</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97.19</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97.19</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98.36</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98.36</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98.99</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98.99</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98.75</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98.75</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98.87</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98.87</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92.99</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92.99</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98.31</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98.31</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97.07</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97.07</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98.54</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98.54</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97.09</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97.09</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97.57</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97.57</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98.62</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98.62</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99.11</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99.11</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98.29</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98.29</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98.85</v>
      </c>
      <c r="G250" s="105"/>
      <c r="H250" s="60">
        <f t="shared" si="75"/>
        <v>98.85</v>
      </c>
      <c r="I250" s="112">
        <f>IF(H250="","",IF($I$8="A",(RANK(H250,H$11:H$363,1)+COUNTIF(H$11:H250,H250)-1),(RANK(H250,H$11:H$363)+COUNTIF(H$11:H250,H250)-1)))</f>
        <v>2</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98.85</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98.53</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98.53</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92.17</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92.17</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98.02</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98.02</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97.4</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97.4</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97.96</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97.96</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96.18</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96.18</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f>VLOOKUP(C257,classifications!C:K,9,FALSE)</f>
        <v>0</v>
      </c>
      <c r="F257" s="59">
        <f t="shared" si="74"/>
        <v>97.45</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97.45</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98.49</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98.49</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93.71</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93.71</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97.42</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97.42</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98.1</v>
      </c>
      <c r="G261" s="105"/>
      <c r="H261" s="60">
        <f t="shared" si="75"/>
        <v>98.1</v>
      </c>
      <c r="I261" s="112">
        <f>IF(H261="","",IF($I$8="A",(RANK(H261,H$11:H$363,1)+COUNTIF(H$11:H261,H261)-1),(RANK(H261,H$11:H$363)+COUNTIF(H$11:H261,H261)-1)))</f>
        <v>9</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98.1</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94.82</v>
      </c>
      <c r="G262" s="105"/>
      <c r="H262" s="60">
        <f t="shared" si="75"/>
        <v>94.82</v>
      </c>
      <c r="I262" s="112">
        <f>IF(H262="","",IF($I$8="A",(RANK(H262,H$11:H$363,1)+COUNTIF(H$11:H262,H262)-1),(RANK(H262,H$11:H$363)+COUNTIF(H$11:H262,H262)-1)))</f>
        <v>47</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94.82</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98.58</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98.58</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97.9</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97.9</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99.07</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99.07</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97.79</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97.79</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98.36</v>
      </c>
      <c r="G268" s="105"/>
      <c r="H268" s="60">
        <f t="shared" si="99"/>
        <v>98.36</v>
      </c>
      <c r="I268" s="112">
        <f>IF(H268="","",IF($I$8="A",(RANK(H268,H$11:H$363,1)+COUNTIF(H$11:H268,H268)-1),(RANK(H268,H$11:H$363)+COUNTIF(H$11:H268,H268)-1)))</f>
        <v>6</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98.36</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98.76</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98.76</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97.94</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97.94</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98.14</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98.14</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98.65</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98.65</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98.57</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98.57</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99.1</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99.1</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98.75</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98.75</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97.4</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97.4</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97.4</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97.4</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98.13</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98.13</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96.22</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96.22</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95.13</v>
      </c>
      <c r="G280" s="105"/>
      <c r="H280" s="60">
        <f t="shared" si="99"/>
        <v>95.13</v>
      </c>
      <c r="I280" s="112">
        <f>IF(H280="","",IF($I$8="A",(RANK(H280,H$11:H$363,1)+COUNTIF(H$11:H280,H280)-1),(RANK(H280,H$11:H$363)+COUNTIF(H$11:H280,H280)-1)))</f>
        <v>44</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95.13</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97.1</v>
      </c>
      <c r="G281" s="105"/>
      <c r="H281" s="60">
        <f t="shared" si="99"/>
        <v>97.1</v>
      </c>
      <c r="I281" s="112">
        <f>IF(H281="","",IF($I$8="A",(RANK(H281,H$11:H$363,1)+COUNTIF(H$11:H281,H281)-1),(RANK(H281,H$11:H$363)+COUNTIF(H$11:H281,H281)-1)))</f>
        <v>27</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97.1</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95.04</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95.04</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98.52</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98.52</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98.78</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98.78</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98.4</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98.4</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95.56</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95.56</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97.27</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97.27</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98.63</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98.63</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95.62</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95.62</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96.6</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96.6</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96.86</v>
      </c>
      <c r="G292" s="105"/>
      <c r="H292" s="60">
        <f t="shared" si="99"/>
        <v>96.86</v>
      </c>
      <c r="I292" s="112">
        <f>IF(H292="","",IF($I$8="A",(RANK(H292,H$11:H$363,1)+COUNTIF(H$11:H292,H292)-1),(RANK(H292,H$11:H$363)+COUNTIF(H$11:H292,H292)-1)))</f>
        <v>30</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96.86</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93.85</v>
      </c>
      <c r="G293" s="105"/>
      <c r="H293" s="60">
        <f t="shared" si="99"/>
        <v>93.85</v>
      </c>
      <c r="I293" s="112">
        <f>IF(H293="","",IF($I$8="A",(RANK(H293,H$11:H$363,1)+COUNTIF(H$11:H293,H293)-1),(RANK(H293,H$11:H$363)+COUNTIF(H$11:H293,H293)-1)))</f>
        <v>51</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93.85</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98.41</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98.41</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99.04</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99.04</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97.87</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97.87</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96.54</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96.54</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98.72</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98.72</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98.58</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98.58</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97.36</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97.36</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97.4</v>
      </c>
      <c r="G303" s="105"/>
      <c r="H303" s="60">
        <f t="shared" si="99"/>
        <v>97.4</v>
      </c>
      <c r="I303" s="112">
        <f>IF(H303="","",IF($I$8="A",(RANK(H303,H$11:H$363,1)+COUNTIF(H$11:H303,H303)-1),(RANK(H303,H$11:H$363)+COUNTIF(H$11:H303,H303)-1)))</f>
        <v>24</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97.4</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94.21</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94.21</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97.58</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97.58</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98.37</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98.37</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97.97</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97.97</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98.44</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98.44</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96.6</v>
      </c>
      <c r="G309" s="105"/>
      <c r="H309" s="60">
        <f t="shared" si="99"/>
        <v>96.6</v>
      </c>
      <c r="I309" s="112">
        <f>IF(H309="","",IF($I$8="A",(RANK(H309,H$11:H$363,1)+COUNTIF(H$11:H309,H309)-1),(RANK(H309,H$11:H$363)+COUNTIF(H$11:H309,H309)-1)))</f>
        <v>31</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96.6</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96.82</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96.82</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98.28</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98.28</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97.88</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97.88</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95.92</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95.92</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94.88</v>
      </c>
      <c r="G314" s="105"/>
      <c r="H314" s="60">
        <f t="shared" si="99"/>
        <v>94.88</v>
      </c>
      <c r="I314" s="112">
        <f>IF(H314="","",IF($I$8="A",(RANK(H314,H$11:H$363,1)+COUNTIF(H$11:H314,H314)-1),(RANK(H314,H$11:H$363)+COUNTIF(H$11:H314,H314)-1)))</f>
        <v>45</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94.88</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97.51</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97.51</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98.54</v>
      </c>
      <c r="G316" s="105"/>
      <c r="H316" s="60">
        <f t="shared" si="99"/>
        <v>98.54</v>
      </c>
      <c r="I316" s="112">
        <f>IF(H316="","",IF($I$8="A",(RANK(H316,H$11:H$363,1)+COUNTIF(H$11:H316,H316)-1),(RANK(H316,H$11:H$363)+COUNTIF(H$11:H316,H316)-1)))</f>
        <v>4</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98.54</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98.29</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98.29</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94.88</v>
      </c>
      <c r="G318" s="105"/>
      <c r="H318" s="60">
        <f t="shared" si="99"/>
        <v>94.88</v>
      </c>
      <c r="I318" s="112">
        <f>IF(H318="","",IF($I$8="A",(RANK(H318,H$11:H$363,1)+COUNTIF(H$11:H318,H318)-1),(RANK(H318,H$11:H$363)+COUNTIF(H$11:H318,H318)-1)))</f>
        <v>46</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94.88</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98.13</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98.13</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95.41</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95.41</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97.7</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97.7</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98.53</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98.53</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98.82</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98.82</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8"/>
        <v>98.72</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98.72</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94.4</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94.4</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95.99</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95.99</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95.31</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95.31</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98.25</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98.25</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97.22</v>
      </c>
      <c r="G329" s="105"/>
      <c r="H329" s="60">
        <f t="shared" si="99"/>
        <v>97.22</v>
      </c>
      <c r="I329" s="112">
        <f>IF(H329="","",IF($I$8="A",(RANK(H329,H$11:H$363,1)+COUNTIF(H$11:H329,H329)-1),(RANK(H329,H$11:H$363)+COUNTIF(H$11:H329,H329)-1)))</f>
        <v>25</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97.22</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98.52</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98.52</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95.47</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95.47</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96.17</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96.17</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99.02</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99.02</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98.1</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98.1</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97.82</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97.82</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97.67</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97.67</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98.25</v>
      </c>
      <c r="G338" s="105"/>
      <c r="H338" s="60">
        <f t="shared" si="122"/>
        <v>98.25</v>
      </c>
      <c r="I338" s="112">
        <f>IF(H338="","",IF($I$8="A",(RANK(H338,H$11:H$363,1)+COUNTIF(H$11:H338,H338)-1),(RANK(H338,H$11:H$363)+COUNTIF(H$11:H338,H338)-1)))</f>
        <v>7</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98.25</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97.69</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97.69</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98.03</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98.03</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95.27</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95.27</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98.18</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98.18</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98.47</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98.47</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96.93</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96.93</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96.27</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96.27</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f t="shared" si="121"/>
        <v>96.28</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96.28</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94.98</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94.98</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97.76</v>
      </c>
      <c r="G349" s="105"/>
      <c r="H349" s="60">
        <f t="shared" si="122"/>
        <v>97.76</v>
      </c>
      <c r="I349" s="112">
        <f>IF(H349="","",IF($I$8="A",(RANK(H349,H$11:H$363,1)+COUNTIF(H$11:H349,H349)-1),(RANK(H349,H$11:H$363)+COUNTIF(H$11:H349,H349)-1)))</f>
        <v>11</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97.76</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98.57</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98.57</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97.73</v>
      </c>
      <c r="G351" s="105"/>
      <c r="H351" s="60">
        <f t="shared" si="122"/>
        <v>97.73</v>
      </c>
      <c r="I351" s="112">
        <f>IF(H351="","",IF($I$8="A",(RANK(H351,H$11:H$363,1)+COUNTIF(H$11:H351,H351)-1),(RANK(H351,H$11:H$363)+COUNTIF(H$11:H351,H351)-1)))</f>
        <v>12</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97.73</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95.43</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95.43</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97.98</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97.98</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99.29</v>
      </c>
      <c r="G354" s="105"/>
      <c r="H354" s="60">
        <f t="shared" si="122"/>
        <v>99.29</v>
      </c>
      <c r="I354" s="112">
        <f>IF(H354="","",IF($I$8="A",(RANK(H354,H$11:H$363,1)+COUNTIF(H$11:H354,H354)-1),(RANK(H354,H$11:H$363)+COUNTIF(H$11:H354,H354)-1)))</f>
        <v>1</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99.29</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95.62</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95.62</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97.4</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97.4</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97.59</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97.59</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98.44</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98.44</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98.11</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98.11</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98.02</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98.02</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97.03</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97.03</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97.58</v>
      </c>
      <c r="G363" s="105"/>
      <c r="H363" s="60">
        <f t="shared" si="122"/>
        <v>97.58</v>
      </c>
      <c r="I363" s="112">
        <f>IF(H363="","",IF($I$8="A",(RANK(H363,H$11:H$363,1)+COUNTIF(H$11:H363,H363)-1),(RANK(H363,H$11:H$363)+COUNTIF(H$11:H363,H363)-1)))</f>
        <v>17</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97.58</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A2" sqref="A2:G6"/>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30">
      <c r="A2" s="269" t="s">
        <v>895</v>
      </c>
      <c r="B2" t="s">
        <v>820</v>
      </c>
      <c r="C2" t="s">
        <v>831</v>
      </c>
      <c r="D2" t="s">
        <v>901</v>
      </c>
      <c r="F2" t="s">
        <v>897</v>
      </c>
      <c r="G2" s="6"/>
      <c r="H2" s="6"/>
    </row>
    <row r="3" spans="1:8" ht="30">
      <c r="A3" s="269" t="s">
        <v>896</v>
      </c>
      <c r="B3" t="s">
        <v>820</v>
      </c>
      <c r="C3" t="s">
        <v>831</v>
      </c>
      <c r="D3" t="s">
        <v>901</v>
      </c>
      <c r="F3" t="s">
        <v>898</v>
      </c>
      <c r="G3" s="6"/>
    </row>
    <row r="4" spans="1:8" ht="15">
      <c r="A4" s="269"/>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B3" sqref="B3"/>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Council tax collected by 31 March as a % of amount collectable2012-13</v>
      </c>
      <c r="D1" s="188" t="str">
        <f t="shared" ref="D1:BO1" si="0">D4&amp;D5</f>
        <v>Council tax collected by 31 March as a % of amount collectable2013-14</v>
      </c>
      <c r="E1" s="188" t="str">
        <f t="shared" si="0"/>
        <v>Non Domestic Rates collected by 31 March as a % of amount collectable2012-13</v>
      </c>
      <c r="F1" s="188" t="str">
        <f t="shared" si="0"/>
        <v>Non Domestic Rates collected by 31 March as a % of amount collectable2013-14</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900</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895</v>
      </c>
      <c r="D4" s="269" t="s">
        <v>895</v>
      </c>
      <c r="E4" s="269" t="s">
        <v>896</v>
      </c>
      <c r="F4" s="269" t="s">
        <v>896</v>
      </c>
      <c r="G4" s="269"/>
      <c r="H4" s="269"/>
      <c r="I4" s="181"/>
      <c r="J4" s="183"/>
      <c r="K4" s="183"/>
      <c r="L4" s="179"/>
      <c r="M4" s="183"/>
      <c r="N4" s="179"/>
      <c r="O4" s="181"/>
      <c r="P4" s="181"/>
      <c r="Q4" s="181"/>
      <c r="R4" s="183"/>
      <c r="S4" s="183"/>
      <c r="T4" s="183"/>
      <c r="U4" s="181"/>
      <c r="V4" s="361"/>
      <c r="W4" s="361"/>
      <c r="X4" s="179"/>
      <c r="Y4" s="179"/>
    </row>
    <row r="5" spans="1:77" ht="30" customHeight="1">
      <c r="A5" s="359"/>
      <c r="B5" s="191" t="s">
        <v>369</v>
      </c>
      <c r="C5" s="269" t="s">
        <v>897</v>
      </c>
      <c r="D5" s="269" t="s">
        <v>898</v>
      </c>
      <c r="E5" s="269" t="s">
        <v>897</v>
      </c>
      <c r="F5" s="269" t="s">
        <v>898</v>
      </c>
      <c r="G5" s="269"/>
      <c r="H5" s="269"/>
      <c r="I5" s="182"/>
      <c r="J5" s="165"/>
      <c r="K5" s="165"/>
      <c r="L5" s="179"/>
      <c r="M5" s="165"/>
      <c r="N5" s="179"/>
      <c r="O5" s="182"/>
      <c r="P5" s="182"/>
      <c r="Q5" s="182"/>
      <c r="R5" s="165"/>
      <c r="S5" s="165"/>
      <c r="T5" s="165"/>
      <c r="U5" s="182"/>
      <c r="V5" s="362"/>
      <c r="W5" s="362"/>
      <c r="X5" s="179"/>
      <c r="Y5" s="179"/>
    </row>
    <row r="6" spans="1:77" ht="14.65" customHeight="1">
      <c r="A6" s="359"/>
      <c r="B6" s="191" t="s">
        <v>370</v>
      </c>
      <c r="C6" s="217" t="s">
        <v>899</v>
      </c>
      <c r="D6" s="217" t="s">
        <v>899</v>
      </c>
      <c r="E6" s="217" t="s">
        <v>899</v>
      </c>
      <c r="F6" s="217" t="s">
        <v>899</v>
      </c>
      <c r="G6" s="217"/>
      <c r="H6" s="217"/>
      <c r="I6" s="182"/>
      <c r="J6" s="165"/>
      <c r="K6" s="165"/>
      <c r="L6" s="179"/>
      <c r="M6" s="165"/>
      <c r="N6" s="179"/>
      <c r="O6" s="182"/>
      <c r="P6" s="182"/>
      <c r="Q6" s="182"/>
      <c r="R6" s="165"/>
      <c r="S6" s="165"/>
      <c r="T6" s="165"/>
      <c r="U6" s="181"/>
      <c r="V6" s="361"/>
      <c r="W6" s="361"/>
      <c r="X6" s="179"/>
      <c r="Y6" s="179"/>
    </row>
    <row r="7" spans="1:77" ht="14.65" customHeight="1">
      <c r="A7" s="186" t="s">
        <v>4</v>
      </c>
      <c r="B7" s="186"/>
      <c r="C7">
        <v>97.72</v>
      </c>
      <c r="D7">
        <v>97.51</v>
      </c>
      <c r="E7">
        <v>96.69</v>
      </c>
      <c r="F7">
        <v>97.77</v>
      </c>
      <c r="G7"/>
      <c r="H7"/>
      <c r="I7" s="202"/>
      <c r="J7" s="165"/>
      <c r="K7" s="165"/>
      <c r="L7" s="179"/>
      <c r="M7" s="165"/>
      <c r="N7" s="179"/>
      <c r="O7" s="202"/>
      <c r="P7" s="202"/>
      <c r="Q7" s="202"/>
      <c r="R7" s="165"/>
      <c r="S7" s="165"/>
      <c r="T7" s="165"/>
      <c r="U7" s="201"/>
      <c r="V7" s="166"/>
      <c r="W7" s="166"/>
      <c r="X7" s="179"/>
      <c r="Y7" s="179"/>
    </row>
    <row r="8" spans="1:77" ht="14.65" customHeight="1">
      <c r="A8" s="186" t="s">
        <v>6</v>
      </c>
      <c r="B8" s="186"/>
      <c r="C8">
        <v>97.65</v>
      </c>
      <c r="D8">
        <v>97.8</v>
      </c>
      <c r="E8">
        <v>97.6</v>
      </c>
      <c r="F8">
        <v>98.05</v>
      </c>
      <c r="G8"/>
      <c r="H8"/>
      <c r="I8" s="202"/>
      <c r="J8" s="165"/>
      <c r="K8" s="165"/>
      <c r="L8" s="179"/>
      <c r="M8" s="165"/>
      <c r="N8" s="179"/>
      <c r="O8" s="202"/>
      <c r="P8" s="202"/>
      <c r="Q8" s="202"/>
      <c r="R8" s="165"/>
      <c r="S8" s="165"/>
      <c r="T8" s="165"/>
      <c r="U8" s="201"/>
      <c r="V8" s="166"/>
      <c r="W8" s="166"/>
      <c r="X8" s="179"/>
      <c r="Y8" s="179"/>
    </row>
    <row r="9" spans="1:77" ht="14.65" customHeight="1">
      <c r="A9" s="186" t="s">
        <v>7</v>
      </c>
      <c r="B9" s="186"/>
      <c r="C9">
        <v>98.85</v>
      </c>
      <c r="D9">
        <v>98.76</v>
      </c>
      <c r="E9">
        <v>99</v>
      </c>
      <c r="F9">
        <v>99.03</v>
      </c>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98.15</v>
      </c>
      <c r="D10">
        <v>98.27</v>
      </c>
      <c r="E10">
        <v>98.77</v>
      </c>
      <c r="F10">
        <v>98.37</v>
      </c>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97.35</v>
      </c>
      <c r="D11">
        <v>97.12</v>
      </c>
      <c r="E11">
        <v>97.91</v>
      </c>
      <c r="F11">
        <v>98.21</v>
      </c>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98.06</v>
      </c>
      <c r="D12">
        <v>98.4</v>
      </c>
      <c r="E12">
        <v>99.09</v>
      </c>
      <c r="F12">
        <v>98.9</v>
      </c>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98.66</v>
      </c>
      <c r="D13">
        <v>98.63</v>
      </c>
      <c r="E13">
        <v>99.4</v>
      </c>
      <c r="F13">
        <v>99.4</v>
      </c>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98.32</v>
      </c>
      <c r="D14">
        <v>98.19</v>
      </c>
      <c r="E14">
        <v>97.92</v>
      </c>
      <c r="F14">
        <v>98.29</v>
      </c>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94.56</v>
      </c>
      <c r="D15">
        <v>94.13</v>
      </c>
      <c r="E15">
        <v>95.09</v>
      </c>
      <c r="F15">
        <v>96.96</v>
      </c>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96.7</v>
      </c>
      <c r="D16">
        <v>96.39</v>
      </c>
      <c r="E16">
        <v>95.63</v>
      </c>
      <c r="F16">
        <v>95.75</v>
      </c>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96.33</v>
      </c>
      <c r="D17">
        <v>95.51</v>
      </c>
      <c r="E17">
        <v>97.32</v>
      </c>
      <c r="F17">
        <v>96.39</v>
      </c>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96.77</v>
      </c>
      <c r="D18">
        <v>96.58</v>
      </c>
      <c r="E18">
        <v>98.01</v>
      </c>
      <c r="F18">
        <v>98.37</v>
      </c>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97.83</v>
      </c>
      <c r="D19">
        <v>97.12</v>
      </c>
      <c r="E19">
        <v>98.47</v>
      </c>
      <c r="F19">
        <v>98.65</v>
      </c>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98.52</v>
      </c>
      <c r="D20">
        <v>98.53</v>
      </c>
      <c r="E20">
        <v>98.8</v>
      </c>
      <c r="F20">
        <v>98.62</v>
      </c>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97.27</v>
      </c>
      <c r="D21">
        <v>97.19</v>
      </c>
      <c r="E21">
        <v>98.69</v>
      </c>
      <c r="F21">
        <v>98.91</v>
      </c>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98.9</v>
      </c>
      <c r="D22">
        <v>98.78</v>
      </c>
      <c r="E22">
        <v>97.92</v>
      </c>
      <c r="F22">
        <v>98.3</v>
      </c>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97.66</v>
      </c>
      <c r="D23">
        <v>97.52</v>
      </c>
      <c r="E23">
        <v>98.18</v>
      </c>
      <c r="F23">
        <v>98.69</v>
      </c>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96.13</v>
      </c>
      <c r="D24">
        <v>96.27</v>
      </c>
      <c r="E24">
        <v>98.31</v>
      </c>
      <c r="F24">
        <v>98.4</v>
      </c>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95.36</v>
      </c>
      <c r="D25">
        <v>95.34</v>
      </c>
      <c r="E25">
        <v>95.56</v>
      </c>
      <c r="F25">
        <v>95.46</v>
      </c>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97.05</v>
      </c>
      <c r="D26">
        <v>97.5</v>
      </c>
      <c r="E26">
        <v>96.78</v>
      </c>
      <c r="F26">
        <v>99.1</v>
      </c>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96.78</v>
      </c>
      <c r="D27">
        <v>95.55</v>
      </c>
      <c r="E27">
        <v>97.29</v>
      </c>
      <c r="F27">
        <v>96.89</v>
      </c>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95.46</v>
      </c>
      <c r="D28">
        <v>93.09</v>
      </c>
      <c r="E28">
        <v>94.25</v>
      </c>
      <c r="F28">
        <v>94.91</v>
      </c>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97.81</v>
      </c>
      <c r="D29">
        <v>97.35</v>
      </c>
      <c r="E29">
        <v>99.11</v>
      </c>
      <c r="F29">
        <v>98.71</v>
      </c>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96.41</v>
      </c>
      <c r="D30">
        <v>95.83</v>
      </c>
      <c r="E30">
        <v>96.14</v>
      </c>
      <c r="F30">
        <v>96.32</v>
      </c>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96.05</v>
      </c>
      <c r="D31">
        <v>95.37</v>
      </c>
      <c r="E31">
        <v>97.38</v>
      </c>
      <c r="F31">
        <v>97.74</v>
      </c>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96.99</v>
      </c>
      <c r="D32">
        <v>96.38</v>
      </c>
      <c r="E32">
        <v>98.66</v>
      </c>
      <c r="F32">
        <v>98.65</v>
      </c>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97.6</v>
      </c>
      <c r="D33">
        <v>97.57</v>
      </c>
      <c r="E33">
        <v>97.24</v>
      </c>
      <c r="F33">
        <v>98.79</v>
      </c>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95.47</v>
      </c>
      <c r="D34">
        <v>94.33</v>
      </c>
      <c r="E34">
        <v>96.79</v>
      </c>
      <c r="F34">
        <v>97.76</v>
      </c>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98.63</v>
      </c>
      <c r="D35">
        <v>98.69</v>
      </c>
      <c r="E35">
        <v>98.7</v>
      </c>
      <c r="F35">
        <v>97.98</v>
      </c>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98.19</v>
      </c>
      <c r="D36">
        <v>97.89</v>
      </c>
      <c r="E36">
        <v>98.49</v>
      </c>
      <c r="F36">
        <v>98.32</v>
      </c>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95.87</v>
      </c>
      <c r="D37">
        <v>95.69</v>
      </c>
      <c r="E37">
        <v>97.21</v>
      </c>
      <c r="F37">
        <v>97.56</v>
      </c>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98.07</v>
      </c>
      <c r="D38">
        <v>98.3</v>
      </c>
      <c r="E38">
        <v>95.33</v>
      </c>
      <c r="F38">
        <v>95</v>
      </c>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97.66</v>
      </c>
      <c r="D39">
        <v>97.09</v>
      </c>
      <c r="E39">
        <v>98.32</v>
      </c>
      <c r="F39">
        <v>98.43</v>
      </c>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96.55</v>
      </c>
      <c r="D40">
        <v>96.08</v>
      </c>
      <c r="E40">
        <v>97.72</v>
      </c>
      <c r="F40">
        <v>97.52</v>
      </c>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98.95</v>
      </c>
      <c r="D41">
        <v>98.82</v>
      </c>
      <c r="E41">
        <v>99.09</v>
      </c>
      <c r="F41">
        <v>99.2</v>
      </c>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97.79</v>
      </c>
      <c r="D42">
        <v>97.55</v>
      </c>
      <c r="E42">
        <v>98.73</v>
      </c>
      <c r="F42">
        <v>98.74</v>
      </c>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98.72</v>
      </c>
      <c r="D43">
        <v>98.5</v>
      </c>
      <c r="E43">
        <v>97.26</v>
      </c>
      <c r="F43">
        <v>98.35</v>
      </c>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98.15</v>
      </c>
      <c r="D44">
        <v>97.86</v>
      </c>
      <c r="E44">
        <v>98.94</v>
      </c>
      <c r="F44">
        <v>98.77</v>
      </c>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98.36</v>
      </c>
      <c r="D45">
        <v>98.35</v>
      </c>
      <c r="E45">
        <v>97.3</v>
      </c>
      <c r="F45">
        <v>97.76</v>
      </c>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97.03</v>
      </c>
      <c r="D46">
        <v>95.74</v>
      </c>
      <c r="E46">
        <v>98.29</v>
      </c>
      <c r="F46">
        <v>96.23</v>
      </c>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97.33</v>
      </c>
      <c r="D47">
        <v>96.95</v>
      </c>
      <c r="E47">
        <v>93.93</v>
      </c>
      <c r="F47">
        <v>94.26</v>
      </c>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95.83</v>
      </c>
      <c r="D48">
        <v>95.5</v>
      </c>
      <c r="E48">
        <v>96.35</v>
      </c>
      <c r="F48">
        <v>95.97</v>
      </c>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97.56</v>
      </c>
      <c r="D49">
        <v>97.54</v>
      </c>
      <c r="E49">
        <v>99.1</v>
      </c>
      <c r="F49">
        <v>99.16</v>
      </c>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96.77</v>
      </c>
      <c r="D50">
        <v>96.25</v>
      </c>
      <c r="E50">
        <v>99.18</v>
      </c>
      <c r="F50">
        <v>99.37</v>
      </c>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97.75</v>
      </c>
      <c r="D51">
        <v>96.03</v>
      </c>
      <c r="E51">
        <v>97.28</v>
      </c>
      <c r="F51">
        <v>96.04</v>
      </c>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98.9</v>
      </c>
      <c r="D52">
        <v>98.72</v>
      </c>
      <c r="E52">
        <v>99.3</v>
      </c>
      <c r="F52">
        <v>99.58</v>
      </c>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97.78</v>
      </c>
      <c r="D53">
        <v>97.72</v>
      </c>
      <c r="E53">
        <v>98.58</v>
      </c>
      <c r="F53">
        <v>98.57</v>
      </c>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98.65</v>
      </c>
      <c r="D54">
        <v>97.97</v>
      </c>
      <c r="E54">
        <v>98.59</v>
      </c>
      <c r="F54">
        <v>98.55</v>
      </c>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97.89</v>
      </c>
      <c r="D55">
        <v>97.4</v>
      </c>
      <c r="E55">
        <v>98.65</v>
      </c>
      <c r="F55">
        <v>98.52</v>
      </c>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97.92</v>
      </c>
      <c r="D56">
        <v>97.73</v>
      </c>
      <c r="E56">
        <v>98.77</v>
      </c>
      <c r="F56">
        <v>98.14</v>
      </c>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98.52</v>
      </c>
      <c r="D57">
        <v>98.14</v>
      </c>
      <c r="E57">
        <v>97.22</v>
      </c>
      <c r="F57">
        <v>97.21</v>
      </c>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98.22</v>
      </c>
      <c r="D58">
        <v>98.1</v>
      </c>
      <c r="E58">
        <v>97.98</v>
      </c>
      <c r="F58">
        <v>98.4</v>
      </c>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98.5</v>
      </c>
      <c r="D59">
        <v>98.24</v>
      </c>
      <c r="E59">
        <v>98.93</v>
      </c>
      <c r="F59">
        <v>99.22</v>
      </c>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98.2</v>
      </c>
      <c r="D60">
        <v>98.05</v>
      </c>
      <c r="E60">
        <v>97.89</v>
      </c>
      <c r="F60">
        <v>98.2</v>
      </c>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98.28</v>
      </c>
      <c r="D61">
        <v>97.64</v>
      </c>
      <c r="E61">
        <v>98.44</v>
      </c>
      <c r="F61">
        <v>98.43</v>
      </c>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96.83</v>
      </c>
      <c r="D62">
        <v>96.59</v>
      </c>
      <c r="E62">
        <v>97.46</v>
      </c>
      <c r="F62">
        <v>97.72</v>
      </c>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98.2</v>
      </c>
      <c r="D63">
        <v>98.12</v>
      </c>
      <c r="E63">
        <v>97.71</v>
      </c>
      <c r="F63">
        <v>98</v>
      </c>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99.25</v>
      </c>
      <c r="D64">
        <v>99.26</v>
      </c>
      <c r="E64">
        <v>97.45</v>
      </c>
      <c r="F64">
        <v>98.58</v>
      </c>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98.14</v>
      </c>
      <c r="D65">
        <v>97.65</v>
      </c>
      <c r="E65">
        <v>97.08</v>
      </c>
      <c r="F65">
        <v>97.08</v>
      </c>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98.38</v>
      </c>
      <c r="D66">
        <v>97.92</v>
      </c>
      <c r="E66">
        <v>97.67</v>
      </c>
      <c r="F66">
        <v>98.07</v>
      </c>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99.45</v>
      </c>
      <c r="D67">
        <v>98.25</v>
      </c>
      <c r="E67">
        <v>98.62</v>
      </c>
      <c r="F67">
        <v>98.89</v>
      </c>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97.85</v>
      </c>
      <c r="D68">
        <v>97.31</v>
      </c>
      <c r="E68">
        <v>97.87</v>
      </c>
      <c r="F68">
        <v>97.65</v>
      </c>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98.2</v>
      </c>
      <c r="D69">
        <v>97.98</v>
      </c>
      <c r="E69">
        <v>99.03</v>
      </c>
      <c r="F69">
        <v>99.03</v>
      </c>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97.48</v>
      </c>
      <c r="D70">
        <v>97.45</v>
      </c>
      <c r="E70">
        <v>97.24</v>
      </c>
      <c r="F70">
        <v>98.06</v>
      </c>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97.8</v>
      </c>
      <c r="D71">
        <v>97.13</v>
      </c>
      <c r="E71">
        <v>96.91</v>
      </c>
      <c r="F71">
        <v>96.79</v>
      </c>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98.9</v>
      </c>
      <c r="D72">
        <v>98.9</v>
      </c>
      <c r="E72">
        <v>98.21</v>
      </c>
      <c r="F72">
        <v>98.29</v>
      </c>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95</v>
      </c>
      <c r="D73">
        <v>95.44</v>
      </c>
      <c r="E73">
        <v>95.91</v>
      </c>
      <c r="F73">
        <v>96.6</v>
      </c>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95.89</v>
      </c>
      <c r="D74">
        <v>95.59</v>
      </c>
      <c r="E74">
        <v>97.96</v>
      </c>
      <c r="F74">
        <v>97.79</v>
      </c>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97.45</v>
      </c>
      <c r="D75">
        <v>98.7</v>
      </c>
      <c r="E75">
        <v>96.92</v>
      </c>
      <c r="F75">
        <v>98.3</v>
      </c>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98.51</v>
      </c>
      <c r="D76">
        <v>98.25</v>
      </c>
      <c r="E76">
        <v>98.15</v>
      </c>
      <c r="F76">
        <v>98.91</v>
      </c>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96.55</v>
      </c>
      <c r="D77">
        <v>96.21</v>
      </c>
      <c r="E77">
        <v>97.17</v>
      </c>
      <c r="F77">
        <v>98.09</v>
      </c>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97.79</v>
      </c>
      <c r="D78">
        <v>97.74</v>
      </c>
      <c r="E78">
        <v>98.49</v>
      </c>
      <c r="F78">
        <v>98.07</v>
      </c>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95.94</v>
      </c>
      <c r="D79">
        <v>95.24</v>
      </c>
      <c r="E79">
        <v>95.76</v>
      </c>
      <c r="F79">
        <v>96.95</v>
      </c>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97.33</v>
      </c>
      <c r="D80">
        <v>97.06</v>
      </c>
      <c r="E80">
        <v>98.83</v>
      </c>
      <c r="F80">
        <v>98.59</v>
      </c>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98.32</v>
      </c>
      <c r="D81">
        <v>98.28</v>
      </c>
      <c r="E81">
        <v>98.85</v>
      </c>
      <c r="F81">
        <v>99.11</v>
      </c>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94.8</v>
      </c>
      <c r="D82">
        <v>93.3</v>
      </c>
      <c r="E82">
        <v>95.93</v>
      </c>
      <c r="F82">
        <v>95.32</v>
      </c>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98.39</v>
      </c>
      <c r="D83">
        <v>98.27</v>
      </c>
      <c r="E83">
        <v>97.54</v>
      </c>
      <c r="F83">
        <v>97.64</v>
      </c>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94.9</v>
      </c>
      <c r="D84">
        <v>93.83</v>
      </c>
      <c r="E84">
        <v>96.43</v>
      </c>
      <c r="F84">
        <v>96.11</v>
      </c>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98.02</v>
      </c>
      <c r="D85">
        <v>97.74</v>
      </c>
      <c r="E85">
        <v>95.83</v>
      </c>
      <c r="F85">
        <v>98.17</v>
      </c>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98.04</v>
      </c>
      <c r="D86">
        <v>97.76</v>
      </c>
      <c r="E86">
        <v>97.15</v>
      </c>
      <c r="F86">
        <v>97.16</v>
      </c>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97.43</v>
      </c>
      <c r="D87">
        <v>96.76</v>
      </c>
      <c r="E87">
        <v>96.83</v>
      </c>
      <c r="F87">
        <v>95.79</v>
      </c>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98.67</v>
      </c>
      <c r="D88">
        <v>98.54</v>
      </c>
      <c r="E88">
        <v>98.7</v>
      </c>
      <c r="F88">
        <v>98.7</v>
      </c>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98.66</v>
      </c>
      <c r="D89">
        <v>98.56</v>
      </c>
      <c r="E89">
        <v>98.66</v>
      </c>
      <c r="F89">
        <v>98.44</v>
      </c>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98.75</v>
      </c>
      <c r="D90">
        <v>98.4</v>
      </c>
      <c r="E90">
        <v>97.91</v>
      </c>
      <c r="F90">
        <v>97.81</v>
      </c>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98.8</v>
      </c>
      <c r="D91">
        <v>98.8</v>
      </c>
      <c r="E91">
        <v>98.96</v>
      </c>
      <c r="F91">
        <v>99</v>
      </c>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98.42</v>
      </c>
      <c r="D92">
        <v>98.13</v>
      </c>
      <c r="E92">
        <v>96.96</v>
      </c>
      <c r="F92">
        <v>97</v>
      </c>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97.99</v>
      </c>
      <c r="D93">
        <v>97.27</v>
      </c>
      <c r="E93">
        <v>96.61</v>
      </c>
      <c r="F93">
        <v>97.08</v>
      </c>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98.15</v>
      </c>
      <c r="D94">
        <v>97.7</v>
      </c>
      <c r="E94">
        <v>99.85</v>
      </c>
      <c r="F94">
        <v>98.52</v>
      </c>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98.12</v>
      </c>
      <c r="D95">
        <v>97.58</v>
      </c>
      <c r="E95">
        <v>98.35</v>
      </c>
      <c r="F95">
        <v>98.39</v>
      </c>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98.45</v>
      </c>
      <c r="D96">
        <v>98.21</v>
      </c>
      <c r="E96">
        <v>98.35</v>
      </c>
      <c r="F96">
        <v>98.67</v>
      </c>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97.13</v>
      </c>
      <c r="D97">
        <v>96.97</v>
      </c>
      <c r="E97">
        <v>98.75</v>
      </c>
      <c r="F97">
        <v>97.63</v>
      </c>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98.57</v>
      </c>
      <c r="D98">
        <v>98.51</v>
      </c>
      <c r="E98">
        <v>98.91</v>
      </c>
      <c r="F98">
        <v>98.13</v>
      </c>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98.68</v>
      </c>
      <c r="D99">
        <v>98.83</v>
      </c>
      <c r="E99">
        <v>98.09</v>
      </c>
      <c r="F99">
        <v>99.04</v>
      </c>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98.92</v>
      </c>
      <c r="D100">
        <v>98.8</v>
      </c>
      <c r="E100">
        <v>98.72</v>
      </c>
      <c r="F100">
        <v>98.53</v>
      </c>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95.86</v>
      </c>
      <c r="D101">
        <v>94.86</v>
      </c>
      <c r="E101">
        <v>98.86</v>
      </c>
      <c r="F101">
        <v>98.77</v>
      </c>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97.82</v>
      </c>
      <c r="D102">
        <v>97.62</v>
      </c>
      <c r="E102">
        <v>96.85</v>
      </c>
      <c r="F102">
        <v>98.09</v>
      </c>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98.79</v>
      </c>
      <c r="D103">
        <v>98.75</v>
      </c>
      <c r="E103">
        <v>97.95</v>
      </c>
      <c r="F103">
        <v>98.63</v>
      </c>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97.83</v>
      </c>
      <c r="D104">
        <v>97.23</v>
      </c>
      <c r="E104">
        <v>97.8</v>
      </c>
      <c r="F104">
        <v>98.51</v>
      </c>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97.32</v>
      </c>
      <c r="D105">
        <v>96.5</v>
      </c>
      <c r="E105">
        <v>98.15</v>
      </c>
      <c r="F105">
        <v>98.51</v>
      </c>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98.36</v>
      </c>
      <c r="D106">
        <v>98.66</v>
      </c>
      <c r="E106">
        <v>98.12</v>
      </c>
      <c r="F106">
        <v>99.32</v>
      </c>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97.99</v>
      </c>
      <c r="D107">
        <v>97.71</v>
      </c>
      <c r="E107">
        <v>97.51</v>
      </c>
      <c r="F107">
        <v>98.47</v>
      </c>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96.99</v>
      </c>
      <c r="D108">
        <v>97.12</v>
      </c>
      <c r="E108">
        <v>98.62</v>
      </c>
      <c r="F108">
        <v>98.51</v>
      </c>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98.25</v>
      </c>
      <c r="D109">
        <v>98.26</v>
      </c>
      <c r="E109">
        <v>95.44</v>
      </c>
      <c r="F109">
        <v>98.26</v>
      </c>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97.97</v>
      </c>
      <c r="D110">
        <v>97.82</v>
      </c>
      <c r="E110">
        <v>98.03</v>
      </c>
      <c r="F110">
        <v>97.54</v>
      </c>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96.57</v>
      </c>
      <c r="D111">
        <v>96.19</v>
      </c>
      <c r="E111">
        <v>96.28</v>
      </c>
      <c r="F111">
        <v>96.96</v>
      </c>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98.5</v>
      </c>
      <c r="D112">
        <v>98.35</v>
      </c>
      <c r="E112">
        <v>99.14</v>
      </c>
      <c r="F112">
        <v>98.68</v>
      </c>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97.27</v>
      </c>
      <c r="D113">
        <v>96.93</v>
      </c>
      <c r="E113">
        <v>98</v>
      </c>
      <c r="F113">
        <v>97.89</v>
      </c>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97.57</v>
      </c>
      <c r="D114">
        <v>95.6</v>
      </c>
      <c r="E114">
        <v>96.31</v>
      </c>
      <c r="F114">
        <v>97.5</v>
      </c>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97.05</v>
      </c>
      <c r="D115">
        <v>96.77</v>
      </c>
      <c r="E115">
        <v>97.92</v>
      </c>
      <c r="F115">
        <v>97.9</v>
      </c>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97.47</v>
      </c>
      <c r="D116">
        <v>96.9</v>
      </c>
      <c r="E116">
        <v>98.59</v>
      </c>
      <c r="F116">
        <v>98.25</v>
      </c>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94.24</v>
      </c>
      <c r="D117">
        <v>93.14</v>
      </c>
      <c r="E117">
        <v>97.45</v>
      </c>
      <c r="F117">
        <v>97.52</v>
      </c>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99.24</v>
      </c>
      <c r="D118">
        <v>99.04</v>
      </c>
      <c r="E118">
        <v>99.04</v>
      </c>
      <c r="F118">
        <v>99.16</v>
      </c>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93.47</v>
      </c>
      <c r="D119">
        <v>93.55</v>
      </c>
      <c r="E119">
        <v>95.56</v>
      </c>
      <c r="F119">
        <v>96.2</v>
      </c>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97.09</v>
      </c>
      <c r="D120">
        <v>95.8</v>
      </c>
      <c r="E120">
        <v>97.13</v>
      </c>
      <c r="F120">
        <v>96.99</v>
      </c>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98.57</v>
      </c>
      <c r="D121">
        <v>98.43</v>
      </c>
      <c r="E121">
        <v>98.52</v>
      </c>
      <c r="F121">
        <v>98.62</v>
      </c>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96.27</v>
      </c>
      <c r="D122">
        <v>96.29</v>
      </c>
      <c r="E122">
        <v>96.34</v>
      </c>
      <c r="F122">
        <v>97.12</v>
      </c>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98.37</v>
      </c>
      <c r="D123">
        <v>98.56</v>
      </c>
      <c r="E123">
        <v>98.43</v>
      </c>
      <c r="F123">
        <v>99.02</v>
      </c>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95.15</v>
      </c>
      <c r="D124">
        <v>95.07</v>
      </c>
      <c r="E124">
        <v>96.85</v>
      </c>
      <c r="F124">
        <v>96.66</v>
      </c>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96.3</v>
      </c>
      <c r="D125">
        <v>95.67</v>
      </c>
      <c r="E125">
        <v>98.49</v>
      </c>
      <c r="F125">
        <v>98.53</v>
      </c>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98.66</v>
      </c>
      <c r="D126">
        <v>98.56</v>
      </c>
      <c r="E126">
        <v>98.19</v>
      </c>
      <c r="F126">
        <v>98.12</v>
      </c>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97.71</v>
      </c>
      <c r="D127">
        <v>97.5</v>
      </c>
      <c r="E127">
        <v>95.37</v>
      </c>
      <c r="F127">
        <v>95.72</v>
      </c>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98.71</v>
      </c>
      <c r="D128">
        <v>98.69</v>
      </c>
      <c r="E128">
        <v>97.92</v>
      </c>
      <c r="F128">
        <v>98.55</v>
      </c>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96.99</v>
      </c>
      <c r="D129">
        <v>96.06</v>
      </c>
      <c r="E129">
        <v>98.03</v>
      </c>
      <c r="F129">
        <v>98.53</v>
      </c>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96.61</v>
      </c>
      <c r="D130">
        <v>96.33</v>
      </c>
      <c r="E130">
        <v>97.35</v>
      </c>
      <c r="F130">
        <v>97.83</v>
      </c>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97.47</v>
      </c>
      <c r="D131">
        <v>97.06</v>
      </c>
      <c r="E131">
        <v>98.88</v>
      </c>
      <c r="F131">
        <v>98.95</v>
      </c>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96.98</v>
      </c>
      <c r="D132">
        <v>97.14</v>
      </c>
      <c r="E132">
        <v>96.14</v>
      </c>
      <c r="F132">
        <v>97.42</v>
      </c>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98.61</v>
      </c>
      <c r="D133">
        <v>98.4</v>
      </c>
      <c r="E133">
        <v>99.1</v>
      </c>
      <c r="F133">
        <v>98.45</v>
      </c>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97.97</v>
      </c>
      <c r="D134">
        <v>97.66</v>
      </c>
      <c r="E134">
        <v>98.15</v>
      </c>
      <c r="F134">
        <v>98.39</v>
      </c>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98.38</v>
      </c>
      <c r="D135">
        <v>98.24</v>
      </c>
      <c r="E135">
        <v>98.58</v>
      </c>
      <c r="F135">
        <v>98.61</v>
      </c>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97.31</v>
      </c>
      <c r="D136">
        <v>97.88</v>
      </c>
      <c r="E136">
        <v>98.76</v>
      </c>
      <c r="F136">
        <v>99.08</v>
      </c>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98.16</v>
      </c>
      <c r="D137">
        <v>97.99</v>
      </c>
      <c r="E137">
        <v>97.61</v>
      </c>
      <c r="F137">
        <v>97.89</v>
      </c>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98.59</v>
      </c>
      <c r="D138">
        <v>98.36</v>
      </c>
      <c r="E138">
        <v>97.49</v>
      </c>
      <c r="F138">
        <v>96.92</v>
      </c>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97.78</v>
      </c>
      <c r="D139">
        <v>96.65</v>
      </c>
      <c r="E139">
        <v>98.36</v>
      </c>
      <c r="F139">
        <v>99.13</v>
      </c>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98.57</v>
      </c>
      <c r="D140">
        <v>98.28</v>
      </c>
      <c r="E140">
        <v>98.56</v>
      </c>
      <c r="F140">
        <v>98.77</v>
      </c>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95.39</v>
      </c>
      <c r="D141">
        <v>94.44</v>
      </c>
      <c r="E141">
        <v>91.49</v>
      </c>
      <c r="F141">
        <v>94.32</v>
      </c>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96.13</v>
      </c>
      <c r="D142">
        <v>95.94</v>
      </c>
      <c r="E142">
        <v>97.15</v>
      </c>
      <c r="F142">
        <v>97.48</v>
      </c>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97.83</v>
      </c>
      <c r="D143">
        <v>97.7</v>
      </c>
      <c r="E143">
        <v>98.37</v>
      </c>
      <c r="F143">
        <v>97.7</v>
      </c>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v>97.56</v>
      </c>
      <c r="D144">
        <v>97.64</v>
      </c>
      <c r="E144">
        <v>93.49</v>
      </c>
      <c r="F144">
        <v>87.35</v>
      </c>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97.43</v>
      </c>
      <c r="D145">
        <v>95.78</v>
      </c>
      <c r="E145">
        <v>97.54</v>
      </c>
      <c r="F145">
        <v>98.16</v>
      </c>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96.29</v>
      </c>
      <c r="D146">
        <v>97.04</v>
      </c>
      <c r="E146">
        <v>99.19</v>
      </c>
      <c r="F146">
        <v>99.17</v>
      </c>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98.09</v>
      </c>
      <c r="D147">
        <v>97.85</v>
      </c>
      <c r="E147">
        <v>98.65</v>
      </c>
      <c r="F147">
        <v>99.04</v>
      </c>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97.5</v>
      </c>
      <c r="D148">
        <v>97.07</v>
      </c>
      <c r="E148">
        <v>94.52</v>
      </c>
      <c r="F148">
        <v>97.28</v>
      </c>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95.75</v>
      </c>
      <c r="D149">
        <v>94.21</v>
      </c>
      <c r="E149">
        <v>97.22</v>
      </c>
      <c r="F149">
        <v>96.87</v>
      </c>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98.68</v>
      </c>
      <c r="D150">
        <v>98.62</v>
      </c>
      <c r="E150">
        <v>98.72</v>
      </c>
      <c r="F150">
        <v>97.66</v>
      </c>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95.74</v>
      </c>
      <c r="D151">
        <v>94.82</v>
      </c>
      <c r="E151">
        <v>96.36</v>
      </c>
      <c r="F151">
        <v>96.52</v>
      </c>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96.86</v>
      </c>
      <c r="D152">
        <v>94.66</v>
      </c>
      <c r="E152">
        <v>98.3</v>
      </c>
      <c r="F152">
        <v>98.62</v>
      </c>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94.67</v>
      </c>
      <c r="D153">
        <v>94.54</v>
      </c>
      <c r="E153">
        <v>98.02</v>
      </c>
      <c r="F153">
        <v>98.16</v>
      </c>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97.07</v>
      </c>
      <c r="D154">
        <v>96.84</v>
      </c>
      <c r="E154">
        <v>98.28</v>
      </c>
      <c r="F154">
        <v>98.35</v>
      </c>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96.63</v>
      </c>
      <c r="D155">
        <v>95.73</v>
      </c>
      <c r="E155">
        <v>97.63</v>
      </c>
      <c r="F155">
        <v>97.05</v>
      </c>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95.97</v>
      </c>
      <c r="D156">
        <v>94.81</v>
      </c>
      <c r="E156">
        <v>97.43</v>
      </c>
      <c r="F156">
        <v>96.99</v>
      </c>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98.46</v>
      </c>
      <c r="D157">
        <v>98.37</v>
      </c>
      <c r="E157">
        <v>97.7</v>
      </c>
      <c r="F157">
        <v>98.51</v>
      </c>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94.17</v>
      </c>
      <c r="D158">
        <v>94.14</v>
      </c>
      <c r="E158">
        <v>97.83</v>
      </c>
      <c r="F158">
        <v>99.05</v>
      </c>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99.26</v>
      </c>
      <c r="D159">
        <v>98.87</v>
      </c>
      <c r="E159">
        <v>98.41</v>
      </c>
      <c r="F159">
        <v>99</v>
      </c>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96.32</v>
      </c>
      <c r="D160">
        <v>96.6</v>
      </c>
      <c r="E160">
        <v>99.08</v>
      </c>
      <c r="F160">
        <v>99.3</v>
      </c>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95.51</v>
      </c>
      <c r="D161">
        <v>94.6</v>
      </c>
      <c r="E161">
        <v>96.72</v>
      </c>
      <c r="F161">
        <v>97.32</v>
      </c>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
        <v>3</v>
      </c>
      <c r="D162" t="s">
        <v>3</v>
      </c>
      <c r="E162" t="s">
        <v>3</v>
      </c>
      <c r="F162" t="s">
        <v>3</v>
      </c>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96.18</v>
      </c>
      <c r="D163">
        <v>96.46</v>
      </c>
      <c r="E163">
        <v>96.09</v>
      </c>
      <c r="F163">
        <v>96.66</v>
      </c>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98.3</v>
      </c>
      <c r="D164">
        <v>98.31</v>
      </c>
      <c r="E164">
        <v>97.6</v>
      </c>
      <c r="F164">
        <v>97.33</v>
      </c>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98.41</v>
      </c>
      <c r="D165">
        <v>98.11</v>
      </c>
      <c r="E165">
        <v>96.86</v>
      </c>
      <c r="F165">
        <v>97.46</v>
      </c>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98.66</v>
      </c>
      <c r="D166">
        <v>98.56</v>
      </c>
      <c r="E166">
        <v>97.93</v>
      </c>
      <c r="F166">
        <v>98.41</v>
      </c>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92.94</v>
      </c>
      <c r="D167">
        <v>91.69</v>
      </c>
      <c r="E167">
        <v>95.24</v>
      </c>
      <c r="F167">
        <v>97.21</v>
      </c>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97.31</v>
      </c>
      <c r="D168">
        <v>96.97</v>
      </c>
      <c r="E168">
        <v>98.22</v>
      </c>
      <c r="F168">
        <v>98.38</v>
      </c>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96.41</v>
      </c>
      <c r="D169">
        <v>94.88</v>
      </c>
      <c r="E169">
        <v>98.65</v>
      </c>
      <c r="F169">
        <v>97</v>
      </c>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98.02</v>
      </c>
      <c r="D170">
        <v>97.7</v>
      </c>
      <c r="E170">
        <v>97.95</v>
      </c>
      <c r="F170">
        <v>98.79</v>
      </c>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98.36</v>
      </c>
      <c r="D171">
        <v>97.63</v>
      </c>
      <c r="E171">
        <v>99.1</v>
      </c>
      <c r="F171">
        <v>98.91</v>
      </c>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96.9</v>
      </c>
      <c r="D172">
        <v>97.12</v>
      </c>
      <c r="E172">
        <v>95.63</v>
      </c>
      <c r="F172">
        <v>97.29</v>
      </c>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98.11</v>
      </c>
      <c r="D173">
        <v>97.57</v>
      </c>
      <c r="E173">
        <v>97.57</v>
      </c>
      <c r="F173">
        <v>98.4</v>
      </c>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97.81</v>
      </c>
      <c r="D174">
        <v>98.16</v>
      </c>
      <c r="E174">
        <v>96.96</v>
      </c>
      <c r="F174">
        <v>97.75</v>
      </c>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98.52</v>
      </c>
      <c r="D175">
        <v>98.13</v>
      </c>
      <c r="E175">
        <v>97.05</v>
      </c>
      <c r="F175">
        <v>97.2</v>
      </c>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95.95</v>
      </c>
      <c r="D176">
        <v>93.43</v>
      </c>
      <c r="E176">
        <v>98.83</v>
      </c>
      <c r="F176">
        <v>98.75</v>
      </c>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98.09</v>
      </c>
      <c r="D177">
        <v>97.53</v>
      </c>
      <c r="E177">
        <v>97.17</v>
      </c>
      <c r="F177">
        <v>97.89</v>
      </c>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98.99</v>
      </c>
      <c r="D178">
        <v>99.22</v>
      </c>
      <c r="E178">
        <v>98.81</v>
      </c>
      <c r="F178">
        <v>98.75</v>
      </c>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99.38</v>
      </c>
      <c r="D179">
        <v>98.94</v>
      </c>
      <c r="E179">
        <v>98.4</v>
      </c>
      <c r="F179">
        <v>98.45</v>
      </c>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97.9</v>
      </c>
      <c r="D180">
        <v>97.19</v>
      </c>
      <c r="E180">
        <v>98.19</v>
      </c>
      <c r="F180">
        <v>97.82</v>
      </c>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97.07</v>
      </c>
      <c r="D181">
        <v>96.91</v>
      </c>
      <c r="E181">
        <v>99.48</v>
      </c>
      <c r="F181">
        <v>99.27</v>
      </c>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97.29</v>
      </c>
      <c r="D182">
        <v>96.64</v>
      </c>
      <c r="E182">
        <v>97.47</v>
      </c>
      <c r="F182">
        <v>96.91</v>
      </c>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93.15</v>
      </c>
      <c r="D183">
        <v>92.51</v>
      </c>
      <c r="E183">
        <v>99.74</v>
      </c>
      <c r="F183">
        <v>99.78</v>
      </c>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97.66</v>
      </c>
      <c r="D184">
        <v>96.81</v>
      </c>
      <c r="E184">
        <v>98.01</v>
      </c>
      <c r="F184">
        <v>97.4</v>
      </c>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98.41</v>
      </c>
      <c r="D185">
        <v>97.87</v>
      </c>
      <c r="E185">
        <v>98.18</v>
      </c>
      <c r="F185">
        <v>97.96</v>
      </c>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97.35</v>
      </c>
      <c r="D186">
        <v>97.19</v>
      </c>
      <c r="E186">
        <v>97.08</v>
      </c>
      <c r="F186">
        <v>97.36</v>
      </c>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97.21</v>
      </c>
      <c r="D187">
        <v>96.46</v>
      </c>
      <c r="E187">
        <v>97.24</v>
      </c>
      <c r="F187">
        <v>96.39</v>
      </c>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98.18</v>
      </c>
      <c r="D188">
        <v>97.81</v>
      </c>
      <c r="E188">
        <v>97.06</v>
      </c>
      <c r="F188">
        <v>97.39</v>
      </c>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99.13</v>
      </c>
      <c r="D189">
        <v>99.16</v>
      </c>
      <c r="E189">
        <v>99.93</v>
      </c>
      <c r="F189">
        <v>99.53</v>
      </c>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98.05</v>
      </c>
      <c r="D190">
        <v>97.58</v>
      </c>
      <c r="E190">
        <v>99.11</v>
      </c>
      <c r="F190">
        <v>99.4</v>
      </c>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97.9</v>
      </c>
      <c r="D191">
        <v>98.08</v>
      </c>
      <c r="E191">
        <v>98.43</v>
      </c>
      <c r="F191">
        <v>99.12</v>
      </c>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97.87</v>
      </c>
      <c r="D192">
        <v>97.47</v>
      </c>
      <c r="E192">
        <v>97.33</v>
      </c>
      <c r="F192">
        <v>97.64</v>
      </c>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96.85</v>
      </c>
      <c r="D193">
        <v>96.49</v>
      </c>
      <c r="E193">
        <v>98.07</v>
      </c>
      <c r="F193">
        <v>97.94</v>
      </c>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98.16</v>
      </c>
      <c r="D194">
        <v>97.96</v>
      </c>
      <c r="E194">
        <v>98.85</v>
      </c>
      <c r="F194">
        <v>98.94</v>
      </c>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97.76</v>
      </c>
      <c r="D195">
        <v>97.42</v>
      </c>
      <c r="E195">
        <v>99.22</v>
      </c>
      <c r="F195">
        <v>97.73</v>
      </c>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97.15</v>
      </c>
      <c r="D196">
        <v>96.3</v>
      </c>
      <c r="E196">
        <v>99.05</v>
      </c>
      <c r="F196">
        <v>99.24</v>
      </c>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97.74</v>
      </c>
      <c r="D197">
        <v>97.46</v>
      </c>
      <c r="E197">
        <v>97.59</v>
      </c>
      <c r="F197">
        <v>97.28</v>
      </c>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95.15</v>
      </c>
      <c r="D198">
        <v>94.98</v>
      </c>
      <c r="E198">
        <v>98.49</v>
      </c>
      <c r="F198">
        <v>97.21</v>
      </c>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93.49</v>
      </c>
      <c r="D199">
        <v>93.17</v>
      </c>
      <c r="E199">
        <v>97.46</v>
      </c>
      <c r="F199">
        <v>97.36</v>
      </c>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97.5</v>
      </c>
      <c r="D200">
        <v>97.05</v>
      </c>
      <c r="E200">
        <v>97.6</v>
      </c>
      <c r="F200">
        <v>98.11</v>
      </c>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98.84</v>
      </c>
      <c r="D201">
        <v>98.53</v>
      </c>
      <c r="E201">
        <v>98.17</v>
      </c>
      <c r="F201">
        <v>98.3</v>
      </c>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95.73</v>
      </c>
      <c r="D202">
        <v>93.77</v>
      </c>
      <c r="E202">
        <v>95.46</v>
      </c>
      <c r="F202">
        <v>95.78</v>
      </c>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97.01</v>
      </c>
      <c r="D203">
        <v>96.84</v>
      </c>
      <c r="E203">
        <v>97.38</v>
      </c>
      <c r="F203">
        <v>97.91</v>
      </c>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96.76</v>
      </c>
      <c r="D204">
        <v>95.9</v>
      </c>
      <c r="E204">
        <v>96.65</v>
      </c>
      <c r="F204">
        <v>97.96</v>
      </c>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96.15</v>
      </c>
      <c r="D205">
        <v>95.26</v>
      </c>
      <c r="E205">
        <v>97.22</v>
      </c>
      <c r="F205">
        <v>96.92</v>
      </c>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96.45</v>
      </c>
      <c r="D206">
        <v>95.83</v>
      </c>
      <c r="E206">
        <v>96.73</v>
      </c>
      <c r="F206">
        <v>97.63</v>
      </c>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98.38</v>
      </c>
      <c r="D207">
        <v>98.12</v>
      </c>
      <c r="E207">
        <v>97.98</v>
      </c>
      <c r="F207">
        <v>98.58</v>
      </c>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95.05</v>
      </c>
      <c r="D208">
        <v>93.95</v>
      </c>
      <c r="E208">
        <v>98.01</v>
      </c>
      <c r="F208">
        <v>97.83</v>
      </c>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96.29</v>
      </c>
      <c r="D209">
        <v>94.55</v>
      </c>
      <c r="E209">
        <v>96.47</v>
      </c>
      <c r="F209">
        <v>96.83</v>
      </c>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98.17</v>
      </c>
      <c r="D210">
        <v>97.9</v>
      </c>
      <c r="E210">
        <v>98.2</v>
      </c>
      <c r="F210">
        <v>98.64</v>
      </c>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97.54</v>
      </c>
      <c r="D211">
        <v>96.93</v>
      </c>
      <c r="E211">
        <v>98.17</v>
      </c>
      <c r="F211">
        <v>97.28</v>
      </c>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96.28</v>
      </c>
      <c r="D212">
        <v>96.61</v>
      </c>
      <c r="E212">
        <v>96.86</v>
      </c>
      <c r="F212">
        <v>97.1</v>
      </c>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96.81</v>
      </c>
      <c r="D213">
        <v>95.36</v>
      </c>
      <c r="E213">
        <v>81.75</v>
      </c>
      <c r="F213">
        <v>98.83</v>
      </c>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97.35</v>
      </c>
      <c r="D214">
        <v>97.19</v>
      </c>
      <c r="E214">
        <v>97.85</v>
      </c>
      <c r="F214">
        <v>98.28</v>
      </c>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98.53</v>
      </c>
      <c r="D215">
        <v>98.36</v>
      </c>
      <c r="E215">
        <v>99.37</v>
      </c>
      <c r="F215">
        <v>99.34</v>
      </c>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99.01</v>
      </c>
      <c r="D216">
        <v>98.99</v>
      </c>
      <c r="E216">
        <v>98.07</v>
      </c>
      <c r="F216">
        <v>97.78</v>
      </c>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98.61</v>
      </c>
      <c r="D217">
        <v>98.75</v>
      </c>
      <c r="E217">
        <v>97.79</v>
      </c>
      <c r="F217">
        <v>97.23</v>
      </c>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98.5</v>
      </c>
      <c r="D218">
        <v>98.87</v>
      </c>
      <c r="E218">
        <v>97.88</v>
      </c>
      <c r="F218">
        <v>97.51</v>
      </c>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95.17</v>
      </c>
      <c r="D219">
        <v>92.99</v>
      </c>
      <c r="E219">
        <v>96.55</v>
      </c>
      <c r="F219">
        <v>97.3</v>
      </c>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98.52</v>
      </c>
      <c r="D220">
        <v>98.31</v>
      </c>
      <c r="E220">
        <v>96.92</v>
      </c>
      <c r="F220">
        <v>97.76</v>
      </c>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97.45</v>
      </c>
      <c r="D221">
        <v>97.07</v>
      </c>
      <c r="E221">
        <v>96.68</v>
      </c>
      <c r="F221">
        <v>97.2</v>
      </c>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98.52</v>
      </c>
      <c r="D222">
        <v>98.54</v>
      </c>
      <c r="E222">
        <v>97.86</v>
      </c>
      <c r="F222">
        <v>98.29</v>
      </c>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97.5</v>
      </c>
      <c r="D223">
        <v>97.09</v>
      </c>
      <c r="E223">
        <v>98.09</v>
      </c>
      <c r="F223">
        <v>98.2</v>
      </c>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98</v>
      </c>
      <c r="D224">
        <v>97.57</v>
      </c>
      <c r="E224">
        <v>99.13</v>
      </c>
      <c r="F224">
        <v>99.22</v>
      </c>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98.61</v>
      </c>
      <c r="D225">
        <v>98.62</v>
      </c>
      <c r="E225">
        <v>98.78</v>
      </c>
      <c r="F225">
        <v>98.21</v>
      </c>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99.14</v>
      </c>
      <c r="D226">
        <v>99.11</v>
      </c>
      <c r="E226">
        <v>98.95</v>
      </c>
      <c r="F226">
        <v>98.75</v>
      </c>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98.3</v>
      </c>
      <c r="D227">
        <v>98.29</v>
      </c>
      <c r="E227">
        <v>98.78</v>
      </c>
      <c r="F227">
        <v>98.81</v>
      </c>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98.89</v>
      </c>
      <c r="D228">
        <v>98.85</v>
      </c>
      <c r="E228">
        <v>98.73</v>
      </c>
      <c r="F228">
        <v>98.79</v>
      </c>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98.21</v>
      </c>
      <c r="D229">
        <v>98.53</v>
      </c>
      <c r="E229">
        <v>98.74</v>
      </c>
      <c r="F229">
        <v>99.13</v>
      </c>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92.05</v>
      </c>
      <c r="D230">
        <v>92.17</v>
      </c>
      <c r="E230">
        <v>93.19</v>
      </c>
      <c r="F230">
        <v>94.04</v>
      </c>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98.19</v>
      </c>
      <c r="D231">
        <v>98.02</v>
      </c>
      <c r="E231">
        <v>96.54</v>
      </c>
      <c r="F231">
        <v>97.29</v>
      </c>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97.68</v>
      </c>
      <c r="D232">
        <v>97.4</v>
      </c>
      <c r="E232">
        <v>97.52</v>
      </c>
      <c r="F232">
        <v>98.35</v>
      </c>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98.09</v>
      </c>
      <c r="D233">
        <v>97.96</v>
      </c>
      <c r="E233">
        <v>97.55</v>
      </c>
      <c r="F233">
        <v>98.31</v>
      </c>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97.26</v>
      </c>
      <c r="D234">
        <v>96.18</v>
      </c>
      <c r="E234">
        <v>97.96</v>
      </c>
      <c r="F234">
        <v>97.78</v>
      </c>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98.19</v>
      </c>
      <c r="D235">
        <v>97.45</v>
      </c>
      <c r="E235">
        <v>98.58</v>
      </c>
      <c r="F235">
        <v>98.1</v>
      </c>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98.47</v>
      </c>
      <c r="D236">
        <v>98.49</v>
      </c>
      <c r="E236">
        <v>97.46</v>
      </c>
      <c r="F236">
        <v>97.2</v>
      </c>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95.31</v>
      </c>
      <c r="D237">
        <v>93.71</v>
      </c>
      <c r="E237">
        <v>97.13</v>
      </c>
      <c r="F237">
        <v>97.62</v>
      </c>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97.62</v>
      </c>
      <c r="D238">
        <v>97.42</v>
      </c>
      <c r="E238">
        <v>97.84</v>
      </c>
      <c r="F238">
        <v>97.98</v>
      </c>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98.27</v>
      </c>
      <c r="D239">
        <v>98.1</v>
      </c>
      <c r="E239">
        <v>98.42</v>
      </c>
      <c r="F239">
        <v>98.33</v>
      </c>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95.3</v>
      </c>
      <c r="D240">
        <v>94.82</v>
      </c>
      <c r="E240">
        <v>94.92</v>
      </c>
      <c r="F240">
        <v>96.23</v>
      </c>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98.65</v>
      </c>
      <c r="D241">
        <v>98.58</v>
      </c>
      <c r="E241">
        <v>99.05</v>
      </c>
      <c r="F241">
        <v>99.02</v>
      </c>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98.33</v>
      </c>
      <c r="D242">
        <v>97.9</v>
      </c>
      <c r="E242">
        <v>98.98</v>
      </c>
      <c r="F242">
        <v>98.81</v>
      </c>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99.27</v>
      </c>
      <c r="D243">
        <v>99.07</v>
      </c>
      <c r="E243">
        <v>99.52</v>
      </c>
      <c r="F243">
        <v>98.74</v>
      </c>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97.85</v>
      </c>
      <c r="D244">
        <v>97.79</v>
      </c>
      <c r="E244">
        <v>98.31</v>
      </c>
      <c r="F244">
        <v>98.14</v>
      </c>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98.28</v>
      </c>
      <c r="D245">
        <v>98.36</v>
      </c>
      <c r="E245">
        <v>99.22</v>
      </c>
      <c r="F245">
        <v>99.02</v>
      </c>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98.97</v>
      </c>
      <c r="D246">
        <v>98.76</v>
      </c>
      <c r="E246">
        <v>99.24</v>
      </c>
      <c r="F246">
        <v>98.56</v>
      </c>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97.9</v>
      </c>
      <c r="D247">
        <v>97.94</v>
      </c>
      <c r="E247">
        <v>98.47</v>
      </c>
      <c r="F247">
        <v>98.9</v>
      </c>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98.39</v>
      </c>
      <c r="D248">
        <v>98.14</v>
      </c>
      <c r="E248">
        <v>96.7</v>
      </c>
      <c r="F248">
        <v>97.71</v>
      </c>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98.62</v>
      </c>
      <c r="D249">
        <v>98.65</v>
      </c>
      <c r="E249">
        <v>98.03</v>
      </c>
      <c r="F249">
        <v>98.4</v>
      </c>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98.69</v>
      </c>
      <c r="D250">
        <v>98.57</v>
      </c>
      <c r="E250">
        <v>98.52</v>
      </c>
      <c r="F250">
        <v>98.47</v>
      </c>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99.06</v>
      </c>
      <c r="D251">
        <v>99.1</v>
      </c>
      <c r="E251">
        <v>99.2</v>
      </c>
      <c r="F251">
        <v>98.99</v>
      </c>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98.78</v>
      </c>
      <c r="D252">
        <v>98.75</v>
      </c>
      <c r="E252">
        <v>98.55</v>
      </c>
      <c r="F252">
        <v>98.59</v>
      </c>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97.6</v>
      </c>
      <c r="D253">
        <v>97.4</v>
      </c>
      <c r="E253">
        <v>97.76</v>
      </c>
      <c r="F253">
        <v>97.62</v>
      </c>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97.8</v>
      </c>
      <c r="D254">
        <v>97.4</v>
      </c>
      <c r="E254">
        <v>96.39</v>
      </c>
      <c r="F254">
        <v>98.81</v>
      </c>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98.02</v>
      </c>
      <c r="D255">
        <v>98.13</v>
      </c>
      <c r="E255">
        <v>97.04</v>
      </c>
      <c r="F255">
        <v>97.29</v>
      </c>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97.14</v>
      </c>
      <c r="D256">
        <v>96.22</v>
      </c>
      <c r="E256">
        <v>97.42</v>
      </c>
      <c r="F256">
        <v>97.97</v>
      </c>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95.49</v>
      </c>
      <c r="D257">
        <v>95.13</v>
      </c>
      <c r="E257">
        <v>98.63</v>
      </c>
      <c r="F257">
        <v>98.89</v>
      </c>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97.94</v>
      </c>
      <c r="D258">
        <v>97.1</v>
      </c>
      <c r="E258">
        <v>97.36</v>
      </c>
      <c r="F258">
        <v>97.45</v>
      </c>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94.35</v>
      </c>
      <c r="D259">
        <v>95.04</v>
      </c>
      <c r="E259">
        <v>98.21</v>
      </c>
      <c r="F259">
        <v>98.43</v>
      </c>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98.52</v>
      </c>
      <c r="D260">
        <v>98.52</v>
      </c>
      <c r="E260">
        <v>99.3</v>
      </c>
      <c r="F260">
        <v>99.37</v>
      </c>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98.19</v>
      </c>
      <c r="D261">
        <v>98.78</v>
      </c>
      <c r="E261">
        <v>98.46</v>
      </c>
      <c r="F261">
        <v>98.69</v>
      </c>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98.52</v>
      </c>
      <c r="D262">
        <v>98.4</v>
      </c>
      <c r="E262">
        <v>98.45</v>
      </c>
      <c r="F262">
        <v>98.27</v>
      </c>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96.88</v>
      </c>
      <c r="D263">
        <v>95.56</v>
      </c>
      <c r="E263">
        <v>97.04</v>
      </c>
      <c r="F263">
        <v>96.56</v>
      </c>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98.2</v>
      </c>
      <c r="D264">
        <v>97.27</v>
      </c>
      <c r="E264">
        <v>97.56</v>
      </c>
      <c r="F264">
        <v>97.84</v>
      </c>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98.8</v>
      </c>
      <c r="D265">
        <v>98.63</v>
      </c>
      <c r="E265">
        <v>98.72</v>
      </c>
      <c r="F265">
        <v>98.86</v>
      </c>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95.52</v>
      </c>
      <c r="D266">
        <v>95.62</v>
      </c>
      <c r="E266">
        <v>96.01</v>
      </c>
      <c r="F266">
        <v>96.14</v>
      </c>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97.21</v>
      </c>
      <c r="D267">
        <v>96.6</v>
      </c>
      <c r="E267">
        <v>94.71</v>
      </c>
      <c r="F267">
        <v>94.66</v>
      </c>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98.24</v>
      </c>
      <c r="D268">
        <v>96.86</v>
      </c>
      <c r="E268">
        <v>98.96</v>
      </c>
      <c r="F268">
        <v>98.85</v>
      </c>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96.54</v>
      </c>
      <c r="D269">
        <v>93.85</v>
      </c>
      <c r="E269">
        <v>94.25</v>
      </c>
      <c r="F269">
        <v>95.04</v>
      </c>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98.47</v>
      </c>
      <c r="D270">
        <v>98.41</v>
      </c>
      <c r="E270">
        <v>98.41</v>
      </c>
      <c r="F270">
        <v>98.91</v>
      </c>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99.12</v>
      </c>
      <c r="D271">
        <v>99.04</v>
      </c>
      <c r="E271">
        <v>98.01</v>
      </c>
      <c r="F271">
        <v>99.18</v>
      </c>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98.33</v>
      </c>
      <c r="D272">
        <v>97.87</v>
      </c>
      <c r="E272">
        <v>98.96</v>
      </c>
      <c r="F272">
        <v>99.13</v>
      </c>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97.16</v>
      </c>
      <c r="D273">
        <v>96.54</v>
      </c>
      <c r="E273">
        <v>97.51</v>
      </c>
      <c r="F273">
        <v>96.97</v>
      </c>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99.4</v>
      </c>
      <c r="D274">
        <v>98.72</v>
      </c>
      <c r="E274">
        <v>98.45</v>
      </c>
      <c r="F274">
        <v>99.04</v>
      </c>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98.85</v>
      </c>
      <c r="D275">
        <v>98.58</v>
      </c>
      <c r="E275">
        <v>98.02</v>
      </c>
      <c r="F275">
        <v>97.51</v>
      </c>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97.73</v>
      </c>
      <c r="D276">
        <v>97.36</v>
      </c>
      <c r="E276">
        <v>96.56</v>
      </c>
      <c r="F276">
        <v>97.26</v>
      </c>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97.94</v>
      </c>
      <c r="D277">
        <v>97.4</v>
      </c>
      <c r="E277">
        <v>98.45</v>
      </c>
      <c r="F277">
        <v>98.69</v>
      </c>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95.11</v>
      </c>
      <c r="D278">
        <v>94.21</v>
      </c>
      <c r="E278">
        <v>95.58</v>
      </c>
      <c r="F278">
        <v>95.72</v>
      </c>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98.02</v>
      </c>
      <c r="D279">
        <v>97.58</v>
      </c>
      <c r="E279">
        <v>97.97</v>
      </c>
      <c r="F279">
        <v>98.51</v>
      </c>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98.49</v>
      </c>
      <c r="D280">
        <v>98.37</v>
      </c>
      <c r="E280">
        <v>98.16</v>
      </c>
      <c r="F280">
        <v>98.18</v>
      </c>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98.04</v>
      </c>
      <c r="D281">
        <v>97.97</v>
      </c>
      <c r="E281">
        <v>99.35</v>
      </c>
      <c r="F281">
        <v>98.85</v>
      </c>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97.9</v>
      </c>
      <c r="D282">
        <v>98.44</v>
      </c>
      <c r="E282">
        <v>98.55</v>
      </c>
      <c r="F282">
        <v>99.11</v>
      </c>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97.15</v>
      </c>
      <c r="D283">
        <v>96.6</v>
      </c>
      <c r="E283">
        <v>97.35</v>
      </c>
      <c r="F283">
        <v>97.3</v>
      </c>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97.96</v>
      </c>
      <c r="D284">
        <v>96.82</v>
      </c>
      <c r="E284">
        <v>98.97</v>
      </c>
      <c r="F284">
        <v>98.68</v>
      </c>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98.38</v>
      </c>
      <c r="D285">
        <v>98.28</v>
      </c>
      <c r="E285">
        <v>97.18</v>
      </c>
      <c r="F285">
        <v>98.7</v>
      </c>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98.13</v>
      </c>
      <c r="D286">
        <v>97.88</v>
      </c>
      <c r="E286">
        <v>99.66</v>
      </c>
      <c r="F286">
        <v>98.85</v>
      </c>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96.32</v>
      </c>
      <c r="D287">
        <v>95.92</v>
      </c>
      <c r="E287">
        <v>98.04</v>
      </c>
      <c r="F287">
        <v>98.75</v>
      </c>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97.56</v>
      </c>
      <c r="D288">
        <v>97.51</v>
      </c>
      <c r="E288">
        <v>98.65</v>
      </c>
      <c r="F288">
        <v>96.97</v>
      </c>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98.89</v>
      </c>
      <c r="D289">
        <v>98.54</v>
      </c>
      <c r="E289">
        <v>98.19</v>
      </c>
      <c r="F289">
        <v>96.95</v>
      </c>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98.46</v>
      </c>
      <c r="D290">
        <v>98.29</v>
      </c>
      <c r="E290">
        <v>99.71</v>
      </c>
      <c r="F290">
        <v>99.53</v>
      </c>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96.08</v>
      </c>
      <c r="D291">
        <v>94.88</v>
      </c>
      <c r="E291">
        <v>96.86</v>
      </c>
      <c r="F291">
        <v>97.21</v>
      </c>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98.3</v>
      </c>
      <c r="D292">
        <v>98.13</v>
      </c>
      <c r="E292">
        <v>99.05</v>
      </c>
      <c r="F292">
        <v>98.12</v>
      </c>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95.06</v>
      </c>
      <c r="D293">
        <v>95.41</v>
      </c>
      <c r="E293">
        <v>99.68</v>
      </c>
      <c r="F293">
        <v>99.66</v>
      </c>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98.05</v>
      </c>
      <c r="D294">
        <v>97.7</v>
      </c>
      <c r="E294">
        <v>97.85</v>
      </c>
      <c r="F294">
        <v>97.56</v>
      </c>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98.37</v>
      </c>
      <c r="D295">
        <v>98.53</v>
      </c>
      <c r="E295">
        <v>97.83</v>
      </c>
      <c r="F295">
        <v>98.37</v>
      </c>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98.66</v>
      </c>
      <c r="D296">
        <v>98.82</v>
      </c>
      <c r="E296">
        <v>96.14</v>
      </c>
      <c r="F296">
        <v>98.81</v>
      </c>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98.83</v>
      </c>
      <c r="D297">
        <v>98.72</v>
      </c>
      <c r="E297">
        <v>99.38</v>
      </c>
      <c r="F297">
        <v>99.25</v>
      </c>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96.38</v>
      </c>
      <c r="D298">
        <v>94.4</v>
      </c>
      <c r="E298">
        <v>98.25</v>
      </c>
      <c r="F298">
        <v>98.45</v>
      </c>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96.36</v>
      </c>
      <c r="D299">
        <v>95.99</v>
      </c>
      <c r="E299">
        <v>96.61</v>
      </c>
      <c r="F299">
        <v>96.86</v>
      </c>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95.41</v>
      </c>
      <c r="D300">
        <v>95.31</v>
      </c>
      <c r="E300">
        <v>95.5</v>
      </c>
      <c r="F300">
        <v>95.57</v>
      </c>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98.07</v>
      </c>
      <c r="D301">
        <v>98.25</v>
      </c>
      <c r="E301">
        <v>98.41</v>
      </c>
      <c r="F301">
        <v>98.97</v>
      </c>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97.42</v>
      </c>
      <c r="D302">
        <v>97.22</v>
      </c>
      <c r="E302">
        <v>96.47</v>
      </c>
      <c r="F302">
        <v>95.89</v>
      </c>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98.65</v>
      </c>
      <c r="D303">
        <v>98.52</v>
      </c>
      <c r="E303">
        <v>98.52</v>
      </c>
      <c r="F303">
        <v>98.7</v>
      </c>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95.43</v>
      </c>
      <c r="D304">
        <v>95.47</v>
      </c>
      <c r="E304">
        <v>97.43</v>
      </c>
      <c r="F304">
        <v>96.25</v>
      </c>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96.69</v>
      </c>
      <c r="D305">
        <v>96.17</v>
      </c>
      <c r="E305">
        <v>97.82</v>
      </c>
      <c r="F305">
        <v>97.07</v>
      </c>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99.2</v>
      </c>
      <c r="D306">
        <v>99.02</v>
      </c>
      <c r="E306">
        <v>99.2</v>
      </c>
      <c r="F306">
        <v>99.4</v>
      </c>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97.99</v>
      </c>
      <c r="D307">
        <v>98.1</v>
      </c>
      <c r="E307">
        <v>97.03</v>
      </c>
      <c r="F307">
        <v>97.56</v>
      </c>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97.85</v>
      </c>
      <c r="D308">
        <v>97.82</v>
      </c>
      <c r="E308">
        <v>99.47</v>
      </c>
      <c r="F308">
        <v>99.57</v>
      </c>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97.94</v>
      </c>
      <c r="D309">
        <v>97.67</v>
      </c>
      <c r="E309">
        <v>99.04</v>
      </c>
      <c r="F309">
        <v>99.26</v>
      </c>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98.88</v>
      </c>
      <c r="D310">
        <v>98.25</v>
      </c>
      <c r="E310">
        <v>98.77</v>
      </c>
      <c r="F310">
        <v>98.94</v>
      </c>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97.2</v>
      </c>
      <c r="D311">
        <v>97.69</v>
      </c>
      <c r="E311">
        <v>96.7</v>
      </c>
      <c r="F311">
        <v>99.19</v>
      </c>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98.24</v>
      </c>
      <c r="D312">
        <v>98.03</v>
      </c>
      <c r="E312">
        <v>96.35</v>
      </c>
      <c r="F312">
        <v>98.12</v>
      </c>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96.39</v>
      </c>
      <c r="D313">
        <v>95.27</v>
      </c>
      <c r="E313">
        <v>95.35</v>
      </c>
      <c r="F313">
        <v>95.52</v>
      </c>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98.67</v>
      </c>
      <c r="D314">
        <v>98.18</v>
      </c>
      <c r="E314">
        <v>99.13</v>
      </c>
      <c r="F314">
        <v>99.12</v>
      </c>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98.74</v>
      </c>
      <c r="D315">
        <v>98.47</v>
      </c>
      <c r="E315">
        <v>98.72</v>
      </c>
      <c r="F315">
        <v>98.28</v>
      </c>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97.5</v>
      </c>
      <c r="D316">
        <v>96.93</v>
      </c>
      <c r="E316">
        <v>97.89</v>
      </c>
      <c r="F316">
        <v>98.42</v>
      </c>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96.25</v>
      </c>
      <c r="D317">
        <v>96.27</v>
      </c>
      <c r="E317">
        <v>98.23</v>
      </c>
      <c r="F317">
        <v>98.38</v>
      </c>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96.58</v>
      </c>
      <c r="D318">
        <v>96.28</v>
      </c>
      <c r="E318">
        <v>95.55</v>
      </c>
      <c r="F318">
        <v>95.38</v>
      </c>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95.96</v>
      </c>
      <c r="D319">
        <v>94.98</v>
      </c>
      <c r="E319">
        <v>96.57</v>
      </c>
      <c r="F319">
        <v>96.37</v>
      </c>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97.78</v>
      </c>
      <c r="D320">
        <v>97.76</v>
      </c>
      <c r="E320">
        <v>97</v>
      </c>
      <c r="F320">
        <v>97.75</v>
      </c>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98.76</v>
      </c>
      <c r="D321">
        <v>98.57</v>
      </c>
      <c r="E321">
        <v>98.56</v>
      </c>
      <c r="F321">
        <v>99.43</v>
      </c>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97.75</v>
      </c>
      <c r="D322">
        <v>97.73</v>
      </c>
      <c r="E322">
        <v>95.38</v>
      </c>
      <c r="F322">
        <v>95.71</v>
      </c>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96.77</v>
      </c>
      <c r="D323">
        <v>95.43</v>
      </c>
      <c r="E323">
        <v>95.35</v>
      </c>
      <c r="F323">
        <v>96.9</v>
      </c>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97.96</v>
      </c>
      <c r="D324">
        <v>97.98</v>
      </c>
      <c r="E324">
        <v>97.46</v>
      </c>
      <c r="F324">
        <v>98.16</v>
      </c>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99.43</v>
      </c>
      <c r="D325">
        <v>99.29</v>
      </c>
      <c r="E325">
        <v>98.42</v>
      </c>
      <c r="F325">
        <v>99.07</v>
      </c>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96.49</v>
      </c>
      <c r="D326">
        <v>95.62</v>
      </c>
      <c r="E326">
        <v>95.4</v>
      </c>
      <c r="F326">
        <v>94.76</v>
      </c>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97.55</v>
      </c>
      <c r="D327">
        <v>97.4</v>
      </c>
      <c r="E327">
        <v>98.5</v>
      </c>
      <c r="F327">
        <v>98.01</v>
      </c>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97.8</v>
      </c>
      <c r="D328">
        <v>97.59</v>
      </c>
      <c r="E328">
        <v>96.84</v>
      </c>
      <c r="F328">
        <v>97.66</v>
      </c>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98.61</v>
      </c>
      <c r="D329">
        <v>98.44</v>
      </c>
      <c r="E329">
        <v>98.57</v>
      </c>
      <c r="F329">
        <v>98.37</v>
      </c>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98.31</v>
      </c>
      <c r="D330">
        <v>98.11</v>
      </c>
      <c r="E330">
        <v>98.7</v>
      </c>
      <c r="F330">
        <v>98.16</v>
      </c>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98.23</v>
      </c>
      <c r="D331">
        <v>98.02</v>
      </c>
      <c r="E331">
        <v>98.81</v>
      </c>
      <c r="F331">
        <v>98.24</v>
      </c>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98.18</v>
      </c>
      <c r="D332">
        <v>97.03</v>
      </c>
      <c r="E332">
        <v>100</v>
      </c>
      <c r="F332">
        <v>96.55</v>
      </c>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97.94</v>
      </c>
      <c r="D333">
        <v>97.58</v>
      </c>
      <c r="E333">
        <v>98.02</v>
      </c>
      <c r="F333">
        <v>98.01</v>
      </c>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004D90-ED7F-4806-9E34-4AAB8FD920B9}">
  <ds:schemaRefs>
    <ds:schemaRef ds:uri="http://schemas.microsoft.com/sharepoint/v3/contenttype/forms"/>
  </ds:schemaRefs>
</ds:datastoreItem>
</file>

<file path=customXml/itemProps2.xml><?xml version="1.0" encoding="utf-8"?>
<ds:datastoreItem xmlns:ds="http://schemas.openxmlformats.org/officeDocument/2006/customXml" ds:itemID="{0EE6B197-2E1D-4DF6-8BE0-68EB9B5362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4996D1-9B20-427B-B7E8-CA3819E9637F}">
  <ds:schemaRefs>
    <ds:schemaRef ds:uri="http://purl.org/dc/elements/1.1/"/>
    <ds:schemaRef ds:uri="c0c43d4d-b7da-4a2b-8f97-25182fb94a41"/>
    <ds:schemaRef ds:uri="http://purl.org/dc/terms/"/>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Ricky</cp:lastModifiedBy>
  <dcterms:modified xsi:type="dcterms:W3CDTF">2014-10-27T16:18:42Z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