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31024/"/>
    </mc:Choice>
  </mc:AlternateContent>
  <xr:revisionPtr revIDLastSave="45" documentId="8_{8E89B544-61AE-4519-95A4-2275B29E4271}" xr6:coauthVersionLast="47" xr6:coauthVersionMax="47" xr10:uidLastSave="{8C97A645-6EA5-4643-B02C-036C92F7B41B}"/>
  <workbookProtection workbookAlgorithmName="SHA-512" workbookHashValue="QxyEDZfFfs96zzknZOH0spkYKNjzxs6veIeqqU2uhxHZ7tKq024F8O4lmJGvAocBNFyerA8k3A5dkq4oVLHP2g==" workbookSaltValue="TicW3zXaOEfWgz9V4EbhRQ==" workbookSpinCount="100000" lockStructure="1"/>
  <bookViews>
    <workbookView xWindow="-336" yWindow="168" windowWidth="11772" windowHeight="1224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H69" i="16" s="1"/>
  <c r="I69" i="16" s="1"/>
  <c r="E69" i="16"/>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H207" i="16" s="1"/>
  <c r="I207" i="16" s="1"/>
  <c r="E207" i="16"/>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H259" i="16" s="1"/>
  <c r="I259" i="16" s="1"/>
  <c r="E259" i="16"/>
  <c r="AF259" i="16"/>
  <c r="D260" i="16"/>
  <c r="E260" i="16"/>
  <c r="AF260" i="16"/>
  <c r="D261" i="16"/>
  <c r="E261" i="16"/>
  <c r="AF261" i="16"/>
  <c r="D262" i="16"/>
  <c r="H262" i="16" s="1"/>
  <c r="I262" i="16" s="1"/>
  <c r="E262" i="16"/>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H322" i="16" s="1"/>
  <c r="I322" i="16" s="1"/>
  <c r="E322" i="16"/>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H157" i="16" s="1"/>
  <c r="AX296" i="16"/>
  <c r="F296" i="16" s="1"/>
  <c r="AX273" i="16"/>
  <c r="AX133" i="16"/>
  <c r="F133" i="16" s="1"/>
  <c r="AX307" i="16"/>
  <c r="F307" i="16" s="1"/>
  <c r="AX162" i="16"/>
  <c r="F162" i="16" s="1"/>
  <c r="AX84" i="16"/>
  <c r="AX265" i="16"/>
  <c r="F265" i="16" s="1"/>
  <c r="AX218" i="16"/>
  <c r="F218" i="16" s="1"/>
  <c r="AX250" i="16"/>
  <c r="F250" i="16" s="1"/>
  <c r="AX130" i="16"/>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AX143" i="16"/>
  <c r="H143" i="16" s="1"/>
  <c r="AX213" i="16"/>
  <c r="AX268" i="16"/>
  <c r="F268" i="16" s="1"/>
  <c r="AX97" i="16"/>
  <c r="F97" i="16" s="1"/>
  <c r="AX288" i="16"/>
  <c r="F288" i="16" s="1"/>
  <c r="AX159" i="16"/>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AX163" i="16"/>
  <c r="F163" i="16" s="1"/>
  <c r="AX129" i="16"/>
  <c r="H129" i="16" s="1"/>
  <c r="AX131" i="16"/>
  <c r="H131" i="16" s="1"/>
  <c r="AX190" i="16"/>
  <c r="AX260" i="16"/>
  <c r="H260" i="16" s="1"/>
  <c r="AX92" i="16"/>
  <c r="F92" i="16" s="1"/>
  <c r="AX278" i="16"/>
  <c r="AX149" i="16"/>
  <c r="F149" i="16" s="1"/>
  <c r="AX64" i="16"/>
  <c r="AX232" i="16"/>
  <c r="F232" i="16" s="1"/>
  <c r="AX298" i="16"/>
  <c r="F298" i="16" s="1"/>
  <c r="AX237" i="16"/>
  <c r="AX118" i="16"/>
  <c r="H118" i="16" s="1"/>
  <c r="AX304" i="16"/>
  <c r="AX137" i="16"/>
  <c r="H137" i="16" s="1"/>
  <c r="AX287" i="16"/>
  <c r="F287" i="16" s="1"/>
  <c r="AX151" i="16"/>
  <c r="AX264" i="16"/>
  <c r="AX148" i="16"/>
  <c r="F148" i="16" s="1"/>
  <c r="AX292" i="16"/>
  <c r="F292" i="16" s="1"/>
  <c r="AX124" i="16"/>
  <c r="F124" i="16" s="1"/>
  <c r="AX326" i="16"/>
  <c r="F326" i="16" s="1"/>
  <c r="AX160" i="16"/>
  <c r="F160" i="16" s="1"/>
  <c r="AX319" i="16"/>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AX269" i="16"/>
  <c r="F269" i="16" s="1"/>
  <c r="AX109" i="16"/>
  <c r="H109" i="16" s="1"/>
  <c r="AX303" i="16"/>
  <c r="H303" i="16" s="1"/>
  <c r="AX136" i="16"/>
  <c r="F136" i="16" s="1"/>
  <c r="AX263" i="16"/>
  <c r="AX103" i="16"/>
  <c r="F103" i="16" s="1"/>
  <c r="AX271" i="16"/>
  <c r="F271" i="16" s="1"/>
  <c r="AX222" i="16"/>
  <c r="F222" i="16" s="1"/>
  <c r="AX77" i="16"/>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AX193" i="16"/>
  <c r="AX249" i="16"/>
  <c r="F249" i="16" s="1"/>
  <c r="AX98" i="16"/>
  <c r="F98" i="16" s="1"/>
  <c r="AX289" i="16"/>
  <c r="F289" i="16" s="1"/>
  <c r="AX114" i="16"/>
  <c r="F114" i="16" s="1"/>
  <c r="AX241" i="16"/>
  <c r="F241" i="16" s="1"/>
  <c r="AX95" i="16"/>
  <c r="F95" i="16" s="1"/>
  <c r="AX253" i="16"/>
  <c r="AX217" i="16"/>
  <c r="AX67" i="16"/>
  <c r="F67" i="16" s="1"/>
  <c r="AX212" i="16"/>
  <c r="AX135" i="16"/>
  <c r="F135" i="16" s="1"/>
  <c r="AX121" i="16"/>
  <c r="F121" i="16" s="1"/>
  <c r="AX102" i="16"/>
  <c r="F102" i="16" s="1"/>
  <c r="AX100" i="16"/>
  <c r="F100" i="16" s="1"/>
  <c r="AX202" i="16"/>
  <c r="F202" i="16" s="1"/>
  <c r="AX284" i="16"/>
  <c r="AX257" i="16"/>
  <c r="F257" i="16" s="1"/>
  <c r="AX81" i="16"/>
  <c r="F81" i="16" s="1"/>
  <c r="AX226" i="16"/>
  <c r="F226" i="16" s="1"/>
  <c r="AX112" i="16"/>
  <c r="F112" i="16" s="1"/>
  <c r="AX231" i="16"/>
  <c r="AX127" i="16"/>
  <c r="F127" i="16" s="1"/>
  <c r="AX179" i="16"/>
  <c r="AX246" i="16"/>
  <c r="F246" i="16" s="1"/>
  <c r="AX68" i="16"/>
  <c r="H68" i="16" s="1"/>
  <c r="AX279" i="16"/>
  <c r="F279" i="16" s="1"/>
  <c r="AX111" i="16"/>
  <c r="F111" i="16" s="1"/>
  <c r="AX225" i="16"/>
  <c r="F225" i="16" s="1"/>
  <c r="AX75" i="16"/>
  <c r="F75" i="16" s="1"/>
  <c r="AX215" i="16"/>
  <c r="AX205" i="16"/>
  <c r="F205" i="16" s="1"/>
  <c r="AX198" i="16"/>
  <c r="F198" i="16" s="1"/>
  <c r="AX207" i="16"/>
  <c r="F207" i="16" s="1"/>
  <c r="AX128" i="16"/>
  <c r="F128" i="16" s="1"/>
  <c r="AX325" i="16"/>
  <c r="F325" i="16" s="1"/>
  <c r="AX94" i="16"/>
  <c r="AX302" i="16"/>
  <c r="H302" i="16" s="1"/>
  <c r="AX183" i="16"/>
  <c r="F183" i="16" s="1"/>
  <c r="AX166" i="16"/>
  <c r="F166" i="16" s="1"/>
  <c r="AX252" i="16"/>
  <c r="AX79" i="16"/>
  <c r="AX204" i="16"/>
  <c r="F204" i="16" s="1"/>
  <c r="AX104" i="16"/>
  <c r="F104" i="16" s="1"/>
  <c r="AX221" i="16"/>
  <c r="F221" i="16" s="1"/>
  <c r="AX101" i="16"/>
  <c r="F101" i="16" s="1"/>
  <c r="AX286" i="16"/>
  <c r="AX236" i="16"/>
  <c r="F236" i="16" s="1"/>
  <c r="AX155" i="16"/>
  <c r="F155" i="16" s="1"/>
  <c r="AX266" i="16"/>
  <c r="H266" i="16" s="1"/>
  <c r="AX106" i="16"/>
  <c r="F106" i="16" s="1"/>
  <c r="AX203" i="16"/>
  <c r="AX70" i="16"/>
  <c r="F70" i="16" s="1"/>
  <c r="AX181" i="16"/>
  <c r="F181" i="16" s="1"/>
  <c r="AX192" i="16"/>
  <c r="F192" i="16" s="1"/>
  <c r="AX291" i="16"/>
  <c r="H291" i="16" s="1"/>
  <c r="AX186" i="16"/>
  <c r="F186" i="16" s="1"/>
  <c r="AX123" i="16"/>
  <c r="F123" i="16" s="1"/>
  <c r="AX314" i="16"/>
  <c r="AX89" i="16"/>
  <c r="F89" i="16" s="1"/>
  <c r="AX297" i="16"/>
  <c r="AX180" i="16"/>
  <c r="AX138" i="16"/>
  <c r="F138" i="16" s="1"/>
  <c r="AX234" i="16"/>
  <c r="F234" i="16" s="1"/>
  <c r="AX66" i="16"/>
  <c r="F66" i="16" s="1"/>
  <c r="AX188" i="16"/>
  <c r="F188" i="16" s="1"/>
  <c r="AX71" i="16"/>
  <c r="AX216" i="16"/>
  <c r="F216" i="16" s="1"/>
  <c r="AX96" i="16"/>
  <c r="F96" i="16" s="1"/>
  <c r="AX276" i="16"/>
  <c r="F276" i="16" s="1"/>
  <c r="AX223" i="16"/>
  <c r="H223" i="16" s="1"/>
  <c r="AX117" i="16"/>
  <c r="F117" i="16" s="1"/>
  <c r="AX256" i="16"/>
  <c r="F256" i="16" s="1"/>
  <c r="AX90" i="16"/>
  <c r="H90" i="16" s="1"/>
  <c r="AX195" i="16"/>
  <c r="AX59" i="16"/>
  <c r="AX176" i="16"/>
  <c r="F176" i="16" s="1"/>
  <c r="AX189" i="16"/>
  <c r="H189" i="16" s="1"/>
  <c r="AX281" i="16"/>
  <c r="F281" i="16" s="1"/>
  <c r="AX178" i="16"/>
  <c r="F178" i="16" s="1"/>
  <c r="AX116" i="16"/>
  <c r="F116" i="16" s="1"/>
  <c r="AX309" i="16"/>
  <c r="H309" i="16" s="1"/>
  <c r="AX69" i="16"/>
  <c r="F69" i="16" s="1"/>
  <c r="AX275" i="16"/>
  <c r="F275" i="16" s="1"/>
  <c r="AX167" i="16"/>
  <c r="AX108" i="16"/>
  <c r="F108" i="16" s="1"/>
  <c r="AX229" i="16"/>
  <c r="F229" i="16" s="1"/>
  <c r="AX315" i="16"/>
  <c r="H315" i="16" s="1"/>
  <c r="AX185" i="16"/>
  <c r="F185" i="16" s="1"/>
  <c r="AX63" i="16"/>
  <c r="F63" i="16" s="1"/>
  <c r="AX211" i="16"/>
  <c r="AX93" i="16"/>
  <c r="H93" i="16" s="1"/>
  <c r="H182" i="16"/>
  <c r="F132" i="16"/>
  <c r="F141" i="16"/>
  <c r="AX243" i="16"/>
  <c r="AX206" i="16"/>
  <c r="F206" i="16" s="1"/>
  <c r="AX88" i="16"/>
  <c r="F88" i="16" s="1"/>
  <c r="AX233" i="16"/>
  <c r="F233" i="16" s="1"/>
  <c r="AX85" i="16"/>
  <c r="F85" i="16" s="1"/>
  <c r="AX184" i="16"/>
  <c r="F184" i="16" s="1"/>
  <c r="AX308" i="16"/>
  <c r="AX300" i="16"/>
  <c r="H300" i="16" s="1"/>
  <c r="AX154" i="16"/>
  <c r="F154" i="16" s="1"/>
  <c r="AX168" i="16"/>
  <c r="F168" i="16" s="1"/>
  <c r="AX173" i="16"/>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AX76" i="16"/>
  <c r="F76" i="16" s="1"/>
  <c r="H318" i="16"/>
  <c r="H62" i="16"/>
  <c r="F129" i="16"/>
  <c r="F200" i="16"/>
  <c r="AX238" i="16"/>
  <c r="AX201" i="16"/>
  <c r="AX83" i="16"/>
  <c r="F83" i="16" s="1"/>
  <c r="AX228" i="16"/>
  <c r="F228" i="16" s="1"/>
  <c r="AX80" i="16"/>
  <c r="F80" i="16" s="1"/>
  <c r="AX171" i="16"/>
  <c r="F171" i="16" s="1"/>
  <c r="AX301" i="16"/>
  <c r="F301" i="16" s="1"/>
  <c r="AX293" i="16"/>
  <c r="F293" i="16" s="1"/>
  <c r="AX152" i="16"/>
  <c r="F152" i="16" s="1"/>
  <c r="AX316" i="16"/>
  <c r="AX165" i="16"/>
  <c r="F165" i="16" s="1"/>
  <c r="AX105" i="16"/>
  <c r="F105" i="16" s="1"/>
  <c r="AX283" i="16"/>
  <c r="F283" i="16" s="1"/>
  <c r="AX261" i="16"/>
  <c r="F261" i="16" s="1"/>
  <c r="AX262" i="16"/>
  <c r="F262" i="16" s="1"/>
  <c r="AX142" i="16"/>
  <c r="H142" i="16" s="1"/>
  <c r="AX322" i="16"/>
  <c r="F322" i="16" s="1"/>
  <c r="AX199" i="16"/>
  <c r="F199" i="16" s="1"/>
  <c r="AX327" i="16"/>
  <c r="AX175" i="16"/>
  <c r="F175" i="16" s="1"/>
  <c r="AX299" i="16"/>
  <c r="F299" i="16" s="1"/>
  <c r="AX172" i="16"/>
  <c r="F172" i="16" s="1"/>
  <c r="AX60" i="16"/>
  <c r="F60" i="16" s="1"/>
  <c r="AX12" i="16"/>
  <c r="AX54" i="16"/>
  <c r="F54" i="16" s="1"/>
  <c r="AX19" i="16"/>
  <c r="F19" i="16" s="1"/>
  <c r="AX22" i="16"/>
  <c r="F22" i="16" s="1"/>
  <c r="AX28" i="16"/>
  <c r="F28" i="16" s="1"/>
  <c r="AX38" i="16"/>
  <c r="F38" i="16" s="1"/>
  <c r="AX39" i="16"/>
  <c r="F39" i="16" s="1"/>
  <c r="AX29" i="16"/>
  <c r="H29" i="16" s="1"/>
  <c r="AX31" i="16"/>
  <c r="AX26" i="16"/>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AX41" i="16"/>
  <c r="H41" i="16" s="1"/>
  <c r="AX35" i="16"/>
  <c r="AX51" i="16"/>
  <c r="F51" i="16" s="1"/>
  <c r="AX46" i="16"/>
  <c r="H46" i="16" s="1"/>
  <c r="AX25" i="16"/>
  <c r="AX27" i="16"/>
  <c r="F27" i="16" s="1"/>
  <c r="AX49" i="16"/>
  <c r="AX36" i="16"/>
  <c r="AX13" i="16"/>
  <c r="F13" i="16" s="1"/>
  <c r="AX42" i="16"/>
  <c r="H11" i="16"/>
  <c r="H8" i="16"/>
  <c r="D22" i="8"/>
  <c r="D21" i="8"/>
  <c r="X9" i="16"/>
  <c r="AI9" i="16"/>
  <c r="AP9" i="16"/>
  <c r="J10" i="8"/>
  <c r="F137" i="16" l="1"/>
  <c r="F143" i="16"/>
  <c r="F314" i="16"/>
  <c r="H314" i="16"/>
  <c r="F286" i="16"/>
  <c r="H286" i="16"/>
  <c r="F212" i="16"/>
  <c r="H212" i="16"/>
  <c r="F77" i="16"/>
  <c r="H77" i="16"/>
  <c r="F84" i="16"/>
  <c r="H84" i="16"/>
  <c r="F36" i="16"/>
  <c r="H36" i="16"/>
  <c r="F217" i="16"/>
  <c r="H217" i="16"/>
  <c r="F319" i="16"/>
  <c r="H319" i="16"/>
  <c r="F308" i="16"/>
  <c r="H308" i="16"/>
  <c r="F253" i="16"/>
  <c r="H253" i="16"/>
  <c r="F159" i="16"/>
  <c r="H159" i="16"/>
  <c r="F215" i="16"/>
  <c r="H215" i="16"/>
  <c r="F263" i="16"/>
  <c r="H263" i="16"/>
  <c r="F64" i="16"/>
  <c r="H64" i="16"/>
  <c r="F273" i="16"/>
  <c r="H273" i="16"/>
  <c r="F25" i="16"/>
  <c r="H25" i="16"/>
  <c r="F79" i="16"/>
  <c r="H79" i="16"/>
  <c r="F122" i="16"/>
  <c r="H122" i="16"/>
  <c r="F252" i="16"/>
  <c r="H252" i="16"/>
  <c r="F278" i="16"/>
  <c r="H278" i="16"/>
  <c r="F42" i="16"/>
  <c r="H42" i="16"/>
  <c r="F167" i="16"/>
  <c r="H167" i="16"/>
  <c r="F196" i="16"/>
  <c r="H196" i="16"/>
  <c r="F49" i="16"/>
  <c r="H49" i="16"/>
  <c r="F65" i="16"/>
  <c r="AG298" i="16" s="1"/>
  <c r="H65" i="16"/>
  <c r="F240" i="16"/>
  <c r="H240" i="16"/>
  <c r="F211" i="16"/>
  <c r="H211" i="16"/>
  <c r="F71" i="16"/>
  <c r="H71" i="16"/>
  <c r="F35" i="16"/>
  <c r="H35" i="16"/>
  <c r="F238" i="16"/>
  <c r="H238" i="16"/>
  <c r="F59" i="16"/>
  <c r="H59" i="16"/>
  <c r="F203" i="16"/>
  <c r="H203" i="16"/>
  <c r="F264" i="16"/>
  <c r="H264" i="16"/>
  <c r="F213" i="16"/>
  <c r="H213" i="16"/>
  <c r="F31" i="16"/>
  <c r="H31" i="16"/>
  <c r="F173" i="16"/>
  <c r="H173" i="16"/>
  <c r="F237" i="16"/>
  <c r="H237" i="16"/>
  <c r="F201" i="16"/>
  <c r="H201" i="16"/>
  <c r="F284" i="16"/>
  <c r="H284" i="16"/>
  <c r="F12" i="16"/>
  <c r="H12" i="16"/>
  <c r="F43" i="16"/>
  <c r="H43" i="16"/>
  <c r="F145" i="16"/>
  <c r="H145" i="16"/>
  <c r="F151" i="16"/>
  <c r="H151" i="16"/>
  <c r="F130" i="16"/>
  <c r="H130" i="16"/>
  <c r="F297" i="16"/>
  <c r="H297" i="16"/>
  <c r="F327" i="16"/>
  <c r="H327" i="16"/>
  <c r="F231" i="16"/>
  <c r="H231" i="16"/>
  <c r="F195" i="16"/>
  <c r="H195" i="16"/>
  <c r="F30" i="16"/>
  <c r="H30" i="16"/>
  <c r="F316" i="16"/>
  <c r="H316" i="16"/>
  <c r="F243" i="16"/>
  <c r="H243" i="16"/>
  <c r="F180" i="16"/>
  <c r="H180" i="16"/>
  <c r="F87" i="16"/>
  <c r="H87" i="16"/>
  <c r="F190" i="16"/>
  <c r="H190" i="16"/>
  <c r="F26" i="16"/>
  <c r="H26" i="16"/>
  <c r="F94" i="16"/>
  <c r="H94" i="16"/>
  <c r="F193" i="16"/>
  <c r="H193" i="16"/>
  <c r="F179" i="16"/>
  <c r="H179" i="16"/>
  <c r="F134" i="16"/>
  <c r="H134" i="16"/>
  <c r="F304" i="16"/>
  <c r="H304" i="16"/>
  <c r="H250" i="16"/>
  <c r="H272" i="16"/>
  <c r="F157" i="16"/>
  <c r="H161"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320" i="16"/>
  <c r="AG211" i="16"/>
  <c r="AG244" i="16"/>
  <c r="AG206" i="16"/>
  <c r="AG152" i="16"/>
  <c r="AG109" i="16"/>
  <c r="AG297" i="16"/>
  <c r="AG234" i="16"/>
  <c r="AG159" i="16"/>
  <c r="AG281" i="16"/>
  <c r="AG104" i="16"/>
  <c r="AG166" i="16"/>
  <c r="AG117" i="16"/>
  <c r="AG61" i="16"/>
  <c r="AG71" i="16"/>
  <c r="AG290" i="16"/>
  <c r="AG248" i="16"/>
  <c r="AG240" i="16"/>
  <c r="AG268" i="16"/>
  <c r="AG269" i="16"/>
  <c r="AG84" i="16"/>
  <c r="AG123" i="16"/>
  <c r="AG231" i="16"/>
  <c r="AG219" i="16"/>
  <c r="AG209" i="16"/>
  <c r="AG64" i="16"/>
  <c r="AG65" i="16"/>
  <c r="AG306" i="16"/>
  <c r="AG167" i="16"/>
  <c r="AG169" i="16"/>
  <c r="AG143" i="16"/>
  <c r="AG112" i="16"/>
  <c r="AG190" i="16"/>
  <c r="AG255" i="16"/>
  <c r="AG101" i="16"/>
  <c r="AG214" i="16"/>
  <c r="AG184" i="16"/>
  <c r="AG140" i="16"/>
  <c r="AG76" i="16"/>
  <c r="AG309" i="16"/>
  <c r="AG70" i="16"/>
  <c r="AG111" i="16"/>
  <c r="AG178" i="16"/>
  <c r="AG154" i="16"/>
  <c r="AG133" i="16"/>
  <c r="AG121" i="16"/>
  <c r="AG73" i="16"/>
  <c r="AG60" i="16"/>
  <c r="AG215" i="16"/>
  <c r="AG199" i="16"/>
  <c r="AG144" i="16"/>
  <c r="AG126" i="16"/>
  <c r="AG195" i="16"/>
  <c r="AG289" i="16"/>
  <c r="AG180" i="16"/>
  <c r="AG283" i="16"/>
  <c r="AG67" i="16"/>
  <c r="AG200" i="16"/>
  <c r="AG185" i="16"/>
  <c r="AG59" i="16"/>
  <c r="AG62"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325" i="16" l="1"/>
  <c r="AG315" i="16"/>
  <c r="AG227" i="16"/>
  <c r="AG87" i="16"/>
  <c r="AG241" i="16"/>
  <c r="AG68" i="16"/>
  <c r="AG116" i="16"/>
  <c r="AG193" i="16"/>
  <c r="AG288" i="16"/>
  <c r="AG105" i="16"/>
  <c r="AG252" i="16"/>
  <c r="AG222" i="16"/>
  <c r="AG147" i="16"/>
  <c r="AG286" i="16"/>
  <c r="AG245" i="16"/>
  <c r="AG304" i="16"/>
  <c r="AG160" i="16"/>
  <c r="AG114" i="16"/>
  <c r="AG271" i="16"/>
  <c r="AG299" i="16"/>
  <c r="AG150" i="16"/>
  <c r="AG311" i="16"/>
  <c r="AG312" i="16"/>
  <c r="AG232" i="16"/>
  <c r="AG198" i="16"/>
  <c r="AG273" i="16"/>
  <c r="AG258" i="16"/>
  <c r="AG189" i="16"/>
  <c r="AG88" i="16"/>
  <c r="AG83" i="16"/>
  <c r="AG94" i="16"/>
  <c r="AG93" i="16"/>
  <c r="AG82" i="16"/>
  <c r="AG272" i="16"/>
  <c r="AG235" i="16"/>
  <c r="AG242" i="16"/>
  <c r="AG173" i="16"/>
  <c r="AG251" i="16"/>
  <c r="AG247" i="16"/>
  <c r="AG106" i="16"/>
  <c r="AG274" i="16"/>
  <c r="AG261" i="16"/>
  <c r="AG316" i="16"/>
  <c r="AG212" i="16"/>
  <c r="AG138" i="16"/>
  <c r="AG137" i="16"/>
  <c r="AG181" i="16"/>
  <c r="AG224" i="16"/>
  <c r="AG233" i="16"/>
  <c r="AG113" i="16"/>
  <c r="AG276" i="16"/>
  <c r="AG221" i="16"/>
  <c r="AG80" i="16"/>
  <c r="AG91" i="16"/>
  <c r="AG282" i="16"/>
  <c r="AG131" i="16"/>
  <c r="AG230" i="16"/>
  <c r="AG228" i="16"/>
  <c r="AG108" i="16"/>
  <c r="AG130" i="16"/>
  <c r="AG170" i="16"/>
  <c r="AG324" i="16"/>
  <c r="AG141" i="16"/>
  <c r="AG292" i="16"/>
  <c r="AG77" i="16"/>
  <c r="AG153" i="16"/>
  <c r="AG139" i="16"/>
  <c r="AG243" i="16"/>
  <c r="AG79" i="16"/>
  <c r="AG129" i="16"/>
  <c r="AG305" i="16"/>
  <c r="AG191" i="16"/>
  <c r="AG194" i="16"/>
  <c r="AG207" i="16"/>
  <c r="AG300" i="16"/>
  <c r="AG188" i="16"/>
  <c r="AG96" i="16"/>
  <c r="AG86" i="16"/>
  <c r="AG182" i="16"/>
  <c r="AG266" i="16"/>
  <c r="AG158" i="16"/>
  <c r="AG326" i="16"/>
  <c r="AG225" i="16"/>
  <c r="AG118" i="16"/>
  <c r="AG260" i="16"/>
  <c r="AG66" i="16"/>
  <c r="AG287" i="16"/>
  <c r="AG238" i="16"/>
  <c r="AG156" i="16"/>
  <c r="AG236" i="16"/>
  <c r="AG135" i="16"/>
  <c r="AG275" i="16"/>
  <c r="AG291" i="16"/>
  <c r="AG294" i="16"/>
  <c r="AG257" i="16"/>
  <c r="AG151" i="16"/>
  <c r="AG317" i="16"/>
  <c r="AG296" i="16"/>
  <c r="AG74" i="16"/>
  <c r="AG310" i="16"/>
  <c r="AG120" i="16"/>
  <c r="AG142" i="16"/>
  <c r="AG203" i="16"/>
  <c r="AG279" i="16"/>
  <c r="AG239" i="16"/>
  <c r="AG319" i="16"/>
  <c r="AG175" i="16"/>
  <c r="AG205" i="16"/>
  <c r="AG107" i="16"/>
  <c r="AG85" i="16"/>
  <c r="AG124" i="16"/>
  <c r="AG125" i="16"/>
  <c r="AG197" i="16"/>
  <c r="AG204" i="16"/>
  <c r="AG295" i="16"/>
  <c r="AG220" i="16"/>
  <c r="AG223" i="16"/>
  <c r="AG102" i="16"/>
  <c r="AG110" i="16"/>
  <c r="AG146" i="16"/>
  <c r="AG301" i="16"/>
  <c r="AG149" i="16"/>
  <c r="AG97" i="16"/>
  <c r="AG201" i="16"/>
  <c r="AG132" i="16"/>
  <c r="AG165" i="16"/>
  <c r="AG226" i="16"/>
  <c r="AG78" i="16"/>
  <c r="AG155" i="16"/>
  <c r="AG321" i="16"/>
  <c r="AG217" i="16"/>
  <c r="AG327" i="16"/>
  <c r="AG262" i="16"/>
  <c r="AG322" i="16"/>
  <c r="AG314" i="16"/>
  <c r="AG254" i="16"/>
  <c r="AG202" i="16"/>
  <c r="AG213" i="16"/>
  <c r="AG89" i="16"/>
  <c r="AG270" i="16"/>
  <c r="AG192" i="16"/>
  <c r="AG119" i="16"/>
  <c r="AG302" i="16"/>
  <c r="AG172" i="16"/>
  <c r="AG264" i="16"/>
  <c r="AG208" i="16"/>
  <c r="AG162" i="16"/>
  <c r="AG250" i="16"/>
  <c r="AG58" i="16"/>
  <c r="AG179" i="16"/>
  <c r="AG98" i="16"/>
  <c r="AG323" i="16"/>
  <c r="AG134" i="16"/>
  <c r="AG284" i="16"/>
  <c r="AG229" i="16"/>
  <c r="AG163" i="16"/>
  <c r="AG100" i="16"/>
  <c r="AG157" i="16"/>
  <c r="AG95" i="16"/>
  <c r="AG90" i="16"/>
  <c r="AG72" i="16"/>
  <c r="AG136" i="16"/>
  <c r="AG263" i="16"/>
  <c r="AG318" i="16"/>
  <c r="AG63" i="16"/>
  <c r="AG196" i="16"/>
  <c r="AG278" i="16"/>
  <c r="AG237" i="16"/>
  <c r="AG174" i="16"/>
  <c r="AG249" i="16"/>
  <c r="AG303" i="16"/>
  <c r="AG161" i="16"/>
  <c r="AG308" i="16"/>
  <c r="AG127" i="16"/>
  <c r="AG265" i="16"/>
  <c r="AG128" i="16"/>
  <c r="AG267" i="16"/>
  <c r="AG293" i="16"/>
  <c r="AG187" i="16"/>
  <c r="AG81" i="16"/>
  <c r="AG210" i="16"/>
  <c r="AG122" i="16"/>
  <c r="AG246" i="16"/>
  <c r="AG259" i="16"/>
  <c r="AG164" i="16"/>
  <c r="AG75" i="16"/>
  <c r="AG168" i="16"/>
  <c r="AG69" i="16"/>
  <c r="AG256" i="16"/>
  <c r="AG218" i="16"/>
  <c r="AG253" i="16"/>
  <c r="AG115" i="16"/>
  <c r="AG171" i="16"/>
  <c r="AG313" i="16"/>
  <c r="AG145" i="16"/>
  <c r="AG307" i="16"/>
  <c r="AG148" i="16"/>
  <c r="AG285" i="16"/>
  <c r="AG92" i="16"/>
  <c r="AG186" i="16"/>
  <c r="AG103" i="16"/>
  <c r="AG183" i="16"/>
  <c r="AG99" i="16"/>
  <c r="AG216" i="16"/>
  <c r="AG277" i="16"/>
  <c r="AG176" i="16"/>
  <c r="AG280" i="16"/>
  <c r="AG11" i="16"/>
  <c r="L35" i="8"/>
  <c r="G118" i="8" s="1"/>
  <c r="I243" i="16"/>
  <c r="I36" i="16"/>
  <c r="I64" i="16"/>
  <c r="I94" i="16"/>
  <c r="I319" i="16"/>
  <c r="I193" i="16"/>
  <c r="I30" i="16"/>
  <c r="I286" i="16"/>
  <c r="I217" i="16"/>
  <c r="I297" i="16"/>
  <c r="I213" i="16"/>
  <c r="I49" i="16"/>
  <c r="I284" i="16"/>
  <c r="I159" i="16"/>
  <c r="I134" i="16"/>
  <c r="I79" i="16"/>
  <c r="I26" i="16"/>
  <c r="I87" i="16"/>
  <c r="I145" i="16"/>
  <c r="I180" i="16"/>
  <c r="I77" i="16"/>
  <c r="I43" i="16"/>
  <c r="I273" i="16"/>
  <c r="I304" i="16"/>
  <c r="I195" i="16"/>
  <c r="I231" i="16"/>
  <c r="I35" i="16"/>
  <c r="I59" i="16"/>
  <c r="I200" i="16"/>
  <c r="I308" i="16"/>
  <c r="I253" i="16"/>
  <c r="I25" i="16"/>
  <c r="I327" i="16"/>
  <c r="I237" i="16"/>
  <c r="I263" i="16"/>
  <c r="I71" i="16"/>
  <c r="I31" i="16"/>
  <c r="I190" i="16"/>
  <c r="I167" i="16"/>
  <c r="I201" i="16"/>
  <c r="I240" i="16"/>
  <c r="I12" i="16"/>
  <c r="I151" i="16"/>
  <c r="I65" i="16"/>
  <c r="I122" i="16"/>
  <c r="I264" i="16"/>
  <c r="I215" i="16"/>
  <c r="I314" i="16"/>
  <c r="I179" i="16"/>
  <c r="I130" i="16"/>
  <c r="I316" i="16"/>
  <c r="I212" i="16"/>
  <c r="I211" i="16"/>
  <c r="I84" i="16"/>
  <c r="I173" i="16"/>
  <c r="I203" i="16"/>
  <c r="I42" i="16"/>
  <c r="I196" i="16"/>
  <c r="I278" i="16"/>
  <c r="I252" i="16"/>
  <c r="I238"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E4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U12" i="16" s="1"/>
  <c r="K15" i="16"/>
  <c r="L14" i="16"/>
  <c r="S13" i="16"/>
  <c r="T13" i="16"/>
  <c r="AI13" i="16"/>
  <c r="X13" i="16"/>
  <c r="M13" i="16"/>
  <c r="N13" i="16" s="1"/>
  <c r="AA13" i="16"/>
  <c r="AP13" i="16"/>
  <c r="X11" i="16"/>
  <c r="E66" i="8"/>
  <c r="Y66" i="8" s="1"/>
  <c r="T11" i="16"/>
  <c r="AI11" i="16"/>
  <c r="S11" i="16"/>
  <c r="AP11" i="16"/>
  <c r="M11" i="16"/>
  <c r="U66" i="8" s="1"/>
  <c r="Y12" i="16" l="1"/>
  <c r="AB12" i="16"/>
  <c r="AJ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U60" i="16" l="1"/>
  <c r="AJ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AK75" i="16" s="1"/>
  <c r="S75" i="16"/>
  <c r="X75" i="16"/>
  <c r="AA75" i="16"/>
  <c r="AP75" i="16"/>
  <c r="AQ75" i="16" s="1"/>
  <c r="AR75" i="16" s="1"/>
  <c r="AB75" i="16" l="1"/>
  <c r="Y75" i="16"/>
  <c r="U75" i="16"/>
  <c r="T76" i="16"/>
  <c r="AI76" i="16"/>
  <c r="AJ76" i="16" s="1"/>
  <c r="M76" i="16"/>
  <c r="N76" i="16" s="1"/>
  <c r="AA76" i="16"/>
  <c r="AP76" i="16"/>
  <c r="S76" i="16"/>
  <c r="X76" i="16"/>
  <c r="L77" i="16"/>
  <c r="K78" i="16"/>
  <c r="AK76" i="16" l="1"/>
  <c r="Y76" i="16"/>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AQ79" i="16" l="1"/>
  <c r="AK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I87" i="16"/>
  <c r="S87" i="16"/>
  <c r="T87" i="16"/>
  <c r="U86" i="16"/>
  <c r="AB86" i="16"/>
  <c r="Y86" i="16"/>
  <c r="AQ87" i="16" l="1"/>
  <c r="AJ87" i="16"/>
  <c r="AB87" i="16"/>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X122" i="16"/>
  <c r="AA122" i="16"/>
  <c r="K124" i="16"/>
  <c r="L123" i="16"/>
  <c r="Y122" i="16" l="1"/>
  <c r="AB122" i="16"/>
  <c r="U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A158" i="16"/>
  <c r="K160" i="16"/>
  <c r="L159" i="16"/>
  <c r="AQ158" i="16" l="1"/>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A162" i="16"/>
  <c r="M162" i="16"/>
  <c r="N162" i="16" s="1"/>
  <c r="T162" i="16"/>
  <c r="X162" i="16"/>
  <c r="S162" i="16"/>
  <c r="AI162" i="16"/>
  <c r="AJ162" i="16" s="1"/>
  <c r="AK162" i="16" s="1"/>
  <c r="L163" i="16"/>
  <c r="K164" i="16"/>
  <c r="AQ162" i="16" l="1"/>
  <c r="Y162" i="16"/>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V12" i="16" s="1"/>
  <c r="M327" i="16"/>
  <c r="S327" i="16"/>
  <c r="X327" i="16"/>
  <c r="Y327" i="16" s="1"/>
  <c r="N327" i="16"/>
  <c r="AP327" i="16"/>
  <c r="AQ327" i="16" s="1"/>
  <c r="AR59" i="16" s="1"/>
  <c r="AA327" i="16"/>
  <c r="AB327" i="16" s="1"/>
  <c r="AC12" i="16" l="1"/>
  <c r="AC18" i="16"/>
  <c r="Z59" i="16"/>
  <c r="Z12" i="16"/>
  <c r="Z18" i="16"/>
  <c r="V20" i="16"/>
  <c r="V15" i="16"/>
  <c r="V18" i="16"/>
  <c r="V14" i="16"/>
  <c r="AR69" i="16"/>
  <c r="AR49" i="16"/>
  <c r="V30" i="16"/>
  <c r="V19" i="16"/>
  <c r="AC16" i="16"/>
  <c r="AC15" i="16"/>
  <c r="AC19" i="16"/>
  <c r="Z19" i="16"/>
  <c r="Z16" i="16"/>
  <c r="Z15" i="16"/>
  <c r="V60" i="16"/>
  <c r="V16" i="16"/>
  <c r="V22" i="16"/>
  <c r="AR50" i="16"/>
  <c r="AR43" i="16"/>
  <c r="AC23" i="16"/>
  <c r="AC17" i="16"/>
  <c r="Z21" i="16"/>
  <c r="Z17" i="16"/>
  <c r="Z23" i="16"/>
  <c r="AR64" i="16"/>
  <c r="AR47" i="16"/>
  <c r="V23" i="16"/>
  <c r="V43" i="16"/>
  <c r="V38" i="16"/>
  <c r="V51" i="16"/>
  <c r="AR68" i="16"/>
  <c r="AR20" i="16"/>
  <c r="AR40" i="16"/>
  <c r="AC21" i="16"/>
  <c r="AC20" i="16"/>
  <c r="AR41" i="16"/>
  <c r="AR45" i="16"/>
  <c r="V11" i="16"/>
  <c r="V21" i="16"/>
  <c r="V37" i="16"/>
  <c r="Z20" i="16"/>
  <c r="Z11" i="16"/>
  <c r="Z14" i="16"/>
  <c r="AK12" i="16"/>
  <c r="AK22" i="16"/>
  <c r="AK32" i="16"/>
  <c r="AK37" i="16"/>
  <c r="AK39" i="16"/>
  <c r="AK47" i="16"/>
  <c r="AK48" i="16"/>
  <c r="AK50" i="16"/>
  <c r="AK57" i="16"/>
  <c r="AK60" i="16"/>
  <c r="AK59" i="16"/>
  <c r="AK63" i="16"/>
  <c r="AK65" i="16"/>
  <c r="AK66" i="16"/>
  <c r="AK64" i="16"/>
  <c r="AK67" i="16"/>
  <c r="AK69" i="16"/>
  <c r="AK68" i="16"/>
  <c r="AK70" i="16"/>
  <c r="AK72" i="16"/>
  <c r="AK41" i="16"/>
  <c r="AK25" i="16"/>
  <c r="AK29" i="16"/>
  <c r="AK51" i="16"/>
  <c r="AK53" i="16"/>
  <c r="AK30" i="16"/>
  <c r="AK38" i="16"/>
  <c r="AK14" i="16"/>
  <c r="AK45" i="16"/>
  <c r="AK15" i="16"/>
  <c r="AK21" i="16"/>
  <c r="AK40" i="16"/>
  <c r="AK49" i="16"/>
  <c r="AK19" i="16"/>
  <c r="AK26" i="16"/>
  <c r="AK54" i="16"/>
  <c r="AK27" i="16"/>
  <c r="AK11" i="16"/>
  <c r="AK18" i="16"/>
  <c r="AK43" i="16"/>
  <c r="AK23" i="16"/>
  <c r="AK31" i="16"/>
  <c r="AK20" i="16"/>
  <c r="AK17" i="16"/>
  <c r="AK28" i="16"/>
  <c r="AC59" i="16"/>
  <c r="AC11" i="16"/>
  <c r="AR65" i="16"/>
  <c r="AR11" i="16"/>
  <c r="AR23" i="16"/>
  <c r="Z70" i="16"/>
  <c r="Z30" i="16"/>
  <c r="Z22" i="16"/>
  <c r="Z37" i="16"/>
  <c r="Z122" i="16"/>
  <c r="AR58" i="16"/>
  <c r="AR87" i="16"/>
  <c r="AR92" i="16"/>
  <c r="AR102" i="16"/>
  <c r="AR137" i="16"/>
  <c r="AR158" i="16"/>
  <c r="AR162" i="16"/>
  <c r="AK58" i="16"/>
  <c r="AK52" i="16"/>
  <c r="AK80" i="16"/>
  <c r="AK87" i="16"/>
  <c r="AC70" i="16"/>
  <c r="AC22" i="16"/>
  <c r="AC30" i="16"/>
  <c r="AC37" i="16"/>
  <c r="AC34" i="16"/>
  <c r="AC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L39" i="8" l="1"/>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V39" i="16"/>
  <c r="V64" i="16"/>
  <c r="V63" i="16"/>
  <c r="V65" i="16"/>
  <c r="V76" i="16"/>
  <c r="AL12" i="16"/>
  <c r="AK33" i="16"/>
  <c r="Q39" i="8"/>
  <c r="K39" i="8" s="1"/>
  <c r="Q38" i="8" l="1"/>
  <c r="K38" i="8" s="1"/>
  <c r="O118" i="8"/>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<sst xmlns="http://schemas.openxmlformats.org/spreadsheetml/2006/main" count="9765" uniqueCount="916">
  <si>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</si>
  <si>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</si>
  <si>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</si>
  <si>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</si>
  <si>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</si>
  <si>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</si>
  <si>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</si>
  <si>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</si>
  <si>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</si>
  <si>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</si>
  <si>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</si>
  <si>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</si>
  <si>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</si>
  <si>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</si>
  <si>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</si>
  <si>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</si>
  <si>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</si>
  <si>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</si>
  <si>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</si>
  <si>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</si>
  <si>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</si>
  <si>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</si>
  <si>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</si>
  <si>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</si>
  <si>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</si>
  <si>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</si>
  <si>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</si>
  <si>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</si>
  <si>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</si>
  <si>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</si>
  <si>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</si>
  <si>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</si>
  <si>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</si>
  <si>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</si>
  <si>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</si>
  <si>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</si>
  <si>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</si>
  <si>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</si>
  <si>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</si>
  <si>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</si>
  <si>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</si>
  <si>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</si>
  <si>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</si>
  <si>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</si>
  <si>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</si>
  <si>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</si>
  <si>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</si>
  <si>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</si>
  <si>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</si>
  <si>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</si>
  <si>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</si>
  <si>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</si>
  <si>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</si>
  <si>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</si>
  <si>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</si>
  <si>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</si>
  <si>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</si>
  <si>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</si>
  <si>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</si>
  <si>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</si>
  <si>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</si>
  <si>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</si>
  <si>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</si>
  <si>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</si>
  <si>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</si>
  <si>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</si>
  <si>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</si>
  <si>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</si>
  <si>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</si>
  <si>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</si>
  <si>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</si>
  <si>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</si>
  <si>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</si>
  <si>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</si>
  <si>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</si>
  <si>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</si>
  <si>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</si>
  <si>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</si>
  <si>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</si>
  <si>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</si>
  <si>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</si>
  <si>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</si>
  <si>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</si>
  <si>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</si>
  <si>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</si>
  <si>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</si>
  <si>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</si>
  <si>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</si>
  <si>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</si>
  <si>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</si>
  <si>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</si>
  <si>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</si>
  <si>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</si>
  <si>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</si>
  <si>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</si>
  <si>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</si>
  <si>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</si>
  <si>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</si>
  <si>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</si>
  <si>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</si>
  <si>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</si>
  <si>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</si>
  <si>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</si>
  <si>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</si>
  <si>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</si>
  <si>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</si>
  <si>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</si>
  <si>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</si>
  <si>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</si>
  <si>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</si>
  <si>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</si>
  <si>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</si>
  <si>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</si>
  <si>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</si>
  <si>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</si>
  <si>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</si>
  <si>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</si>
  <si>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</si>
  <si>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</si>
  <si>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</si>
  <si>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</si>
  <si>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</si>
  <si>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</si>
  <si>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</si>
  <si>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</si>
  <si>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</si>
  <si>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</si>
  <si>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</si>
  <si>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</si>
  <si>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</si>
  <si>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</si>
  <si>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</si>
  <si>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</si>
  <si>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</si>
  <si>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</si>
  <si>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</si>
  <si>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</si>
  <si>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</si>
  <si>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</si>
  <si>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</si>
  <si>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</si>
  <si>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</si>
  <si>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</si>
  <si>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</si>
  <si>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</si>
  <si>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</si>
  <si>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</si>
  <si>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</si>
  <si>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</si>
  <si>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</si>
  <si>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</si>
  <si>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</si>
  <si>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</si>
  <si>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</si>
  <si>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</si>
  <si>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</si>
  <si>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</si>
  <si>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</si>
  <si>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</si>
  <si>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</si>
  <si>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</si>
  <si>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</si>
  <si>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</si>
  <si>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</si>
  <si>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</si>
  <si>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</si>
  <si>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</si>
  <si>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</si>
  <si>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</si>
  <si>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</si>
  <si>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</si>
  <si>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</si>
  <si>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</si>
  <si>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</si>
  <si>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</si>
  <si>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</si>
  <si>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</si>
  <si>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</si>
  <si>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</si>
  <si>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</si>
  <si>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</si>
  <si>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</si>
  <si>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</si>
  <si>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</si>
  <si>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</si>
  <si>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</si>
  <si>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</si>
  <si>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</si>
  <si>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</si>
  <si>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</si>
  <si>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</si>
  <si>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</si>
  <si>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</si>
  <si>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</si>
  <si>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</si>
  <si>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</si>
  <si>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</si>
  <si>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</si>
  <si>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</si>
  <si>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</si>
  <si>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</si>
  <si>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</si>
  <si>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</si>
  <si>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</si>
  <si>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</si>
  <si>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</si>
  <si>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</si>
  <si>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</si>
  <si>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</si>
  <si>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</si>
  <si>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</si>
  <si>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</si>
  <si>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</si>
  <si>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</si>
  <si>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</si>
  <si>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</si>
  <si>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</si>
  <si>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</si>
  <si>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</si>
  <si>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</si>
  <si>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</si>
  <si>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</si>
  <si>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</si>
  <si>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</si>
  <si>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</si>
  <si>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</si>
  <si>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</si>
  <si>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</si>
  <si>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</si>
  <si>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</si>
  <si>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</si>
  <si>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</si>
  <si>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</si>
  <si>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</si>
  <si>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</si>
  <si>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</si>
  <si>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</si>
  <si>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</si>
  <si>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</si>
  <si>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</si>
  <si>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</si>
  <si>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</si>
  <si>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</si>
  <si>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</si>
  <si>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</si>
  <si>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</si>
  <si>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</si>
  <si>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</si>
  <si>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</si>
  <si>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</si>
  <si>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</si>
  <si>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</si>
  <si>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</si>
  <si>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</si>
  <si>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</si>
  <si>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</si>
  <si>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</si>
  <si>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</si>
  <si>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</si>
  <si>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</si>
  <si>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</si>
  <si>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</si>
  <si>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</si>
  <si>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</si>
  <si>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</si>
  <si>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</si>
  <si>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</si>
  <si>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</si>
  <si>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</si>
  <si>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</si>
  <si>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</si>
  <si>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</si>
  <si>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</si>
  <si>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</si>
  <si>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</si>
  <si>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</si>
  <si>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</si>
  <si>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</si>
  <si>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</si>
  <si>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</si>
  <si>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</si>
  <si>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</si>
  <si>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</si>
  <si>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</si>
  <si>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</si>
  <si>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</si>
  <si>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</si>
  <si>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</si>
  <si>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</si>
  <si>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</si>
  <si>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</si>
  <si>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</si>
  <si>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</si>
  <si>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</si>
  <si>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</si>
  <si>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</si>
  <si>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</si>
  <si>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</si>
  <si>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</si>
  <si>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</si>
  <si>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</si>
  <si>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</si>
  <si>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</si>
  <si>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</si>
  <si>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</si>
  <si>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</si>
  <si>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</si>
  <si>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</si>
  <si>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</si>
  <si>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</si>
  <si>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</si>
  <si>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</si>
  <si>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</si>
  <si>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</si>
  <si>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</si>
  <si>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</si>
  <si>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</si>
  <si>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</si>
  <si>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</si>
  <si>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</si>
  <si>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</si>
  <si>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</si>
  <si>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</si>
  <si>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</si>
  <si>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</si>
  <si>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</si>
  <si>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</si>
  <si>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</si>
  <si>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</si>
  <si>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</si>
  <si>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</si>
  <si>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</si>
  <si>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</si>
  <si>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</si>
  <si>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</si>
  <si>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</si>
  <si>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</si>
  <si>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</si>
  <si>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</si>
  <si>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</si>
  <si>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</si>
  <si>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</si>
  <si>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</si>
  <si>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</si>
  <si>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</si>
  <si>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</si>
  <si>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</si>
  <si>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</si>
  <si>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</si>
  <si>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</si>
  <si>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</si>
  <si>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</si>
  <si>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</si>
  <si>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</si>
  <si>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</si>
  <si>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</si>
  <si>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</si>
  <si>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</si>
  <si>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</si>
  <si>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</si>
  <si>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</si>
  <si>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</si>
  <si>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</si>
  <si>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</si>
  <si>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</si>
  <si>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</si>
  <si>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</si>
  <si>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</si>
  <si>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</si>
  <si>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</si>
  <si>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</si>
  <si>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</si>
  <si>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</si>
  <si>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</si>
  <si>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</si>
  <si>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</si>
  <si>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</si>
  <si>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</si>
  <si>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</si>
  <si>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</si>
  <si>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</si>
  <si>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</si>
  <si>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</si>
  <si>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</si>
  <si>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</si>
  <si>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</si>
  <si>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</si>
  <si>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</si>
  <si>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</si>
  <si>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</si>
  <si>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</si>
  <si>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</si>
  <si>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</si>
  <si>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</si>
  <si>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</si>
  <si>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</si>
  <si>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</si>
  <si>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</si>
  <si>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</si>
  <si>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</si>
  <si>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</si>
  <si>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</si>
  <si>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</si>
  <si>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</si>
  <si>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</si>
  <si>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</si>
  <si>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</si>
  <si>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</si>
  <si>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</si>
  <si>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</si>
  <si>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</si>
  <si>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</si>
  <si>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</si>
  <si>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</si>
  <si>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</si>
  <si>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</si>
  <si>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</si>
  <si>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</si>
  <si>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</si>
  <si>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</si>
  <si>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</si>
  <si>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</si>
  <si>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</si>
  <si>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</si>
  <si>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</si>
  <si>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</si>
  <si>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</si>
  <si>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</si>
  <si>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</si>
  <si>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</si>
  <si>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</si>
  <si>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</si>
  <si>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</si>
  <si>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</si>
  <si>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</si>
  <si>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</si>
  <si>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</si>
  <si>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</si>
  <si>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</si>
  <si>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</si>
  <si>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</si>
  <si>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</si>
  <si>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</si>
  <si>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</si>
  <si>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</si>
  <si>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</si>
  <si>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</si>
  <si>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</si>
  <si>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</si>
  <si>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</si>
  <si>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</si>
  <si>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</si>
  <si>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</si>
  <si>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</si>
  <si>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</si>
  <si>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</si>
  <si>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</si>
  <si>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</si>
  <si>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</si>
  <si>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</si>
  <si>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</si>
  <si>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</si>
  <si>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</si>
  <si>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</si>
  <si>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</si>
  <si>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</si>
  <si>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</si>
  <si>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</si>
  <si>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</si>
  <si>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</si>
  <si>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</si>
  <si>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</si>
  <si>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</si>
  <si>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</si>
  <si>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</si>
  <si>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</si>
  <si>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</si>
  <si>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</si>
  <si>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</si>
  <si>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</si>
  <si>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</si>
  <si>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</si>
  <si>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</si>
  <si>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</si>
  <si>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</si>
  <si>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</si>
  <si>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</si>
  <si>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</si>
  <si>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</si>
  <si>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</si>
  <si>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</si>
  <si>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</si>
  <si>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</si>
  <si>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</si>
  <si>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</si>
  <si>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</si>
  <si>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</si>
  <si>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</si>
  <si>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</si>
  <si>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</si>
  <si>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</si>
  <si>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</si>
  <si>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</si>
  <si>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</si>
  <si>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</si>
  <si>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</si>
  <si>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</si>
  <si>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</si>
  <si>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</si>
  <si>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</si>
  <si>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</si>
  <si>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</si>
  <si>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</si>
  <si>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</si>
  <si>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</si>
  <si>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</si>
  <si>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</si>
  <si>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</si>
  <si>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</si>
  <si>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</si>
  <si>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</si>
  <si>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</si>
  <si>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</si>
  <si>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</si>
  <si>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</si>
  <si>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</si>
  <si>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</si>
  <si>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</si>
  <si>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</si>
  <si>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</si>
  <si>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</si>
  <si>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</si>
  <si>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</si>
  <si>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</si>
  <si>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</si>
  <si>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</si>
  <si>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</si>
  <si>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</si>
  <si>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</si>
  <si>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</si>
  <si>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</si>
  <si>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</si>
  <si>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</si>
  <si>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</si>
  <si>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</si>
  <si>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</si>
  <si>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</si>
  <si>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</si>
  <si>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</si>
  <si>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</si>
  <si>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</si>
  <si>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</si>
  <si>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</si>
  <si>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</si>
  <si>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</si>
  <si>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</si>
  <si>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</si>
  <si>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</si>
  <si>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</si>
  <si>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</si>
  <si>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</si>
  <si>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</si>
  <si>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</si>
  <si>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</si>
  <si>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</si>
  <si>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</si>
  <si>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</si>
  <si>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</si>
  <si>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</si>
  <si>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</si>
  <si>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</si>
  <si>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</si>
  <si>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</si>
  <si>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</si>
  <si>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</si>
  <si>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</si>
  <si>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</si>
  <si>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</si>
  <si>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</si>
  <si>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</si>
  <si>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</si>
  <si>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</si>
  <si>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</si>
  <si>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</si>
  <si>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</si>
  <si>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</si>
  <si>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</si>
  <si>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</si>
  <si>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</si>
  <si>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</si>
  <si>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</si>
  <si>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</si>
  <si>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</si>
  <si>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</si>
  <si>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</si>
  <si>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</si>
  <si>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</si>
  <si>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</si>
  <si>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</si>
  <si>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</si>
  <si>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</si>
  <si>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</si>
  <si>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</si>
  <si>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</si>
  <si>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</si>
  <si>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</si>
  <si>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</si>
  <si>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</si>
  <si>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</si>
  <si>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</si>
  <si>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</si>
  <si>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</si>
  <si>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</si>
  <si>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</si>
  <si>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</si>
  <si>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</si>
  <si>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</si>
  <si>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</si>
  <si>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</si>
  <si>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</si>
  <si>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</si>
  <si>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</si>
  <si>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</si>
  <si>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</si>
  <si>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</si>
  <si>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</si>
  <si>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</si>
  <si>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</si>
  <si>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</si>
  <si>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</si>
  <si>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</si>
  <si>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</si>
  <si>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</si>
  <si>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</si>
  <si>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</si>
  <si>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</si>
  <si>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</si>
  <si>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</si>
  <si>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</si>
  <si>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</si>
  <si>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</si>
  <si>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</si>
  <si>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</si>
  <si>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</si>
  <si>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</si>
  <si>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</si>
  <si>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</si>
  <si>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</si>
  <si>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</si>
  <si>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</si>
  <si>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</si>
  <si>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</si>
  <si>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</si>
  <si>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</si>
  <si>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</si>
  <si>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</si>
  <si>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</si>
  <si>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</si>
  <si>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</si>
  <si>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</si>
  <si>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</si>
  <si>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</si>
  <si>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</si>
  <si>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</si>
  <si>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</si>
  <si>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</si>
  <si>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</si>
  <si>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</si>
  <si>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</si>
  <si>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</si>
  <si>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</si>
  <si>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</si>
  <si>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</si>
  <si>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</si>
  <si>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</si>
  <si>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</si>
  <si>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</si>
  <si>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</si>
  <si>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</si>
  <si>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</si>
  <si>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</si>
  <si>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</si>
  <si>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</si>
  <si>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</si>
  <si>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</si>
  <si>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</si>
  <si>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</si>
  <si>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</si>
  <si>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</si>
  <si>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</si>
  <si>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</si>
  <si>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</si>
  <si>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</si>
  <si>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</si>
  <si>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</si>
  <si>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</si>
  <si>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</si>
  <si>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</si>
  <si>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</si>
  <si>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</si>
  <si>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</si>
  <si>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</si>
  <si>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</si>
  <si>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</si>
  <si>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</si>
  <si>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</si>
  <si>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</si>
  <si>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</si>
  <si>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</si>
  <si>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</si>
  <si>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</si>
  <si>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</si>
  <si>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</si>
  <si>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</si>
  <si>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</si>
  <si>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</si>
  <si>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</si>
  <si>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</si>
  <si>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</si>
  <si>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</si>
  <si>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</si>
  <si>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</si>
  <si>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</si>
  <si>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</si>
  <si>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</si>
  <si>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</si>
  <si>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</si>
  <si>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</si>
  <si>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</si>
  <si>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</si>
  <si>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</si>
  <si>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</si>
  <si>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</si>
  <si>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</si>
  <si>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</si>
  <si>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</si>
  <si>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</si>
  <si>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</si>
  <si>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</si>
  <si>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</si>
  <si>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</si>
  <si>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</si>
  <si>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</si>
  <si>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</si>
  <si>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</si>
  <si>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</si>
  <si>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</si>
  <si>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</si>
  <si>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</si>
  <si>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</si>
  <si>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</si>
  <si>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</si>
  <si>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</si>
  <si>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</si>
  <si>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</si>
  <si>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</si>
  <si>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</si>
  <si>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</si>
  <si>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</si>
  <si>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</si>
  <si>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</si>
  <si>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</si>
  <si>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</si>
  <si>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</si>
  <si>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</si>
  <si>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</si>
  <si>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</si>
  <si>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</si>
  <si>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</si>
  <si>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</si>
  <si>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</si>
  <si>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</si>
  <si>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</si>
  <si>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</si>
  <si>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</si>
  <si>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</si>
  <si>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</si>
  <si>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</si>
  <si>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</si>
  <si>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</si>
  <si>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</si>
  <si>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</si>
  <si>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</si>
  <si>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</si>
  <si>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</si>
  <si>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</si>
  <si>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</si>
  <si>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</si>
  <si>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</si>
  <si>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</si>
  <si>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</si>
  <si>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</si>
  <si>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</si>
  <si>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</si>
  <si>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</si>
  <si>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</si>
  <si>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</si>
  <si>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</si>
  <si>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</si>
  <si>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</si>
  <si>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</si>
  <si>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</si>
  <si>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</si>
  <si>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</si>
  <si>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</si>
  <si>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</si>
  <si>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</si>
  <si>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</si>
  <si>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</si>
  <si>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</si>
  <si>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</si>
  <si>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</si>
  <si>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</si>
  <si>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</si>
  <si>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</si>
  <si>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</si>
  <si>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</si>
  <si>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</si>
  <si>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</si>
  <si>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</si>
  <si>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</si>
  <si>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</si>
  <si>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</si>
  <si>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</si>
  <si>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</si>
  <si>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</si>
  <si>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</si>
  <si>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</si>
  <si>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</si>
  <si>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</si>
  <si>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</si>
  <si>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</si>
  <si>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</si>
  <si>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</si>
  <si>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</si>
  <si>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</si>
  <si>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</si>
  <si>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</si>
  <si>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</si>
  <si>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</si>
  <si>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</si>
  <si>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</si>
  <si>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</si>
  <si>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</si>
  <si>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</si>
  <si>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</si>
  <si>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</si>
  <si>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</si>
  <si>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</si>
  <si>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</si>
  <si>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</si>
  <si>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</si>
  <si>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</si>
  <si>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</si>
  <si>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</si>
  <si>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</si>
  <si>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</si>
  <si>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</si>
  <si>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</si>
  <si>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</si>
  <si>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</si>
  <si>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</si>
  <si>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</si>
  <si>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</si>
  <si>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</si>
  <si>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</si>
  <si>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</si>
  <si>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</si>
  <si>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</si>
  <si>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</si>
  <si>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</si>
  <si>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</si>
  <si>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</si>
  <si>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</si>
  <si>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</si>
  <si>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</si>
  <si>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</si>
  <si>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</si>
  <si>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</si>
  <si>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</si>
  <si>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</si>
  <si>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</si>
  <si>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</si>
  <si>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</si>
  <si>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</si>
  <si>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</si>
  <si>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</si>
  <si>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</si>
  <si>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</si>
  <si>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</si>
  <si>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</si>
  <si>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</si>
  <si>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</si>
  <si>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</si>
  <si>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</si>
  <si>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</si>
  <si>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</si>
  <si>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</si>
  <si>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</si>
  <si>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</si>
  <si>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</si>
  <si>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Council tax collected by 31 March as a % of amount collectable</t>
  </si>
  <si>
    <t>Non Domestic Rates collected by 31 March as a % of amount collectable</t>
  </si>
  <si>
    <t>2012-13</t>
  </si>
  <si>
    <t>2013-14</t>
  </si>
  <si>
    <t>2014-15</t>
  </si>
  <si>
    <t>2015-16</t>
  </si>
  <si>
    <t>2016-17</t>
  </si>
  <si>
    <t>2017-18</t>
  </si>
  <si>
    <t>2018-19</t>
  </si>
  <si>
    <t>2019-20</t>
  </si>
  <si>
    <t>2020-21</t>
  </si>
  <si>
    <t>2021-22</t>
  </si>
  <si>
    <t>2022-23</t>
  </si>
  <si>
    <t>2023-24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</si>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</sst>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8" fillId="0" borderId="0" applyFont="0" applyFill="0" applyBorder="0" applyAlignment="0" applyProtection="0"/>
    <xf numFmtId="0" fontId="41" fillId="0" borderId="0"/>
    <xf numFmtId="0" fontId="41" fillId="0" borderId="0"/>
    <xf numFmtId="9" fontId="31" fillId="0" borderId="0" applyFont="0" applyFill="0" applyBorder="0" applyAlignment="0" applyProtection="0"/>
    <xf numFmtId="0" fontId="46" fillId="0" borderId="0"/>
    <xf numFmtId="0" fontId="24" fillId="0" borderId="0"/>
    <xf numFmtId="0" fontId="23" fillId="8" borderId="0" applyNumberFormat="0" applyBorder="0" applyAlignment="0" applyProtection="0"/>
    <xf numFmtId="0" fontId="23" fillId="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9"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7" borderId="10" applyNumberFormat="0" applyFont="0" applyAlignment="0" applyProtection="0"/>
    <xf numFmtId="0" fontId="23" fillId="7" borderId="10" applyNumberFormat="0" applyFont="0" applyAlignment="0" applyProtection="0"/>
    <xf numFmtId="9" fontId="23" fillId="0" borderId="0" applyFont="0" applyFill="0" applyBorder="0" applyAlignment="0" applyProtection="0"/>
    <xf numFmtId="37" fontId="24" fillId="0" borderId="0"/>
    <xf numFmtId="9" fontId="24"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0" fontId="58" fillId="0" borderId="0"/>
    <xf numFmtId="44" fontId="58" fillId="0" borderId="0" applyFont="0" applyFill="0" applyBorder="0" applyAlignment="0" applyProtection="0"/>
    <xf numFmtId="169" fontId="24" fillId="0" borderId="0" applyFont="0" applyFill="0" applyBorder="0" applyAlignment="0" applyProtection="0"/>
    <xf numFmtId="0" fontId="67" fillId="24" borderId="0"/>
    <xf numFmtId="0" fontId="21" fillId="0" borderId="0"/>
    <xf numFmtId="0" fontId="20" fillId="0" borderId="0"/>
    <xf numFmtId="43" fontId="20" fillId="0" borderId="0" applyFont="0" applyFill="0" applyBorder="0" applyAlignment="0" applyProtection="0"/>
    <xf numFmtId="9" fontId="20" fillId="0" borderId="0" applyFont="0" applyFill="0" applyBorder="0" applyAlignment="0" applyProtection="0"/>
  </cellStyleXfs>
  <cellXfs count="328">
    <xf numFmtId="0" fontId="0" fillId="0" borderId="0" xfId="0"/>
    <xf numFmtId="0" fontId="25" fillId="0" borderId="0" xfId="0" applyFont="1"/>
    <xf numFmtId="0" fontId="0" fillId="0" borderId="0" xfId="0" applyAlignment="1">
      <alignment horizontal="center"/>
    </xf>
    <xf numFmtId="0" fontId="0" fillId="0" borderId="0" xfId="0" applyAlignment="1">
      <alignment horizontal="left"/>
    </xf>
    <xf numFmtId="0" fontId="2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9" fillId="0" borderId="0" xfId="0" applyFont="1"/>
    <xf numFmtId="0" fontId="33" fillId="0" borderId="6" xfId="0" applyFont="1" applyBorder="1" applyAlignment="1">
      <alignment horizontal="center"/>
    </xf>
    <xf numFmtId="2" fontId="0" fillId="0" borderId="0" xfId="0" applyNumberFormat="1" applyAlignment="1">
      <alignment horizontal="center"/>
    </xf>
    <xf numFmtId="0" fontId="24" fillId="0" borderId="0" xfId="0" applyFont="1" applyAlignment="1">
      <alignment horizontal="center" vertical="center" textRotation="90"/>
    </xf>
    <xf numFmtId="0" fontId="33" fillId="0" borderId="0" xfId="0" applyFont="1" applyAlignment="1">
      <alignment horizontal="center"/>
    </xf>
    <xf numFmtId="2" fontId="0" fillId="0" borderId="0" xfId="0" applyNumberFormat="1"/>
    <xf numFmtId="0" fontId="24" fillId="0" borderId="0" xfId="0" applyFont="1" applyAlignment="1">
      <alignment horizontal="center"/>
    </xf>
    <xf numFmtId="0" fontId="34" fillId="0" borderId="6" xfId="0" applyFont="1" applyBorder="1" applyAlignment="1">
      <alignment horizontal="center"/>
    </xf>
    <xf numFmtId="0" fontId="35" fillId="0" borderId="0" xfId="0" applyFont="1"/>
    <xf numFmtId="0" fontId="28" fillId="0" borderId="0" xfId="0" applyFont="1" applyAlignment="1">
      <alignment horizontal="left"/>
    </xf>
    <xf numFmtId="0" fontId="0" fillId="0" borderId="7" xfId="0" applyBorder="1"/>
    <xf numFmtId="2" fontId="42" fillId="0" borderId="0" xfId="0" applyNumberFormat="1" applyFont="1"/>
    <xf numFmtId="0" fontId="0" fillId="20" borderId="0" xfId="0" applyFill="1"/>
    <xf numFmtId="0" fontId="45" fillId="0" borderId="0" xfId="0" applyFont="1" applyAlignment="1">
      <alignment wrapText="1"/>
    </xf>
    <xf numFmtId="0" fontId="45" fillId="0" borderId="0" xfId="0" applyFont="1" applyAlignment="1">
      <alignment horizontal="left" wrapText="1"/>
    </xf>
    <xf numFmtId="0" fontId="24" fillId="0" borderId="0" xfId="0" applyFont="1" applyAlignment="1">
      <alignment horizontal="left"/>
    </xf>
    <xf numFmtId="0" fontId="24" fillId="0" borderId="0" xfId="5" applyFont="1" applyAlignment="1">
      <alignment horizontal="center"/>
    </xf>
    <xf numFmtId="0" fontId="47" fillId="0" borderId="0" xfId="0" applyFont="1"/>
    <xf numFmtId="0" fontId="0" fillId="0" borderId="0" xfId="5" applyFont="1" applyAlignment="1">
      <alignment horizontal="center"/>
    </xf>
    <xf numFmtId="0" fontId="43" fillId="0" borderId="0" xfId="0" applyFont="1" applyAlignment="1">
      <alignment horizontal="left"/>
    </xf>
    <xf numFmtId="0" fontId="48" fillId="0" borderId="0" xfId="0" applyFont="1"/>
    <xf numFmtId="0" fontId="43" fillId="0" borderId="0" xfId="0" applyFont="1"/>
    <xf numFmtId="0" fontId="44" fillId="0" borderId="0" xfId="0" applyFont="1"/>
    <xf numFmtId="0" fontId="25" fillId="0" borderId="4" xfId="0" applyFont="1" applyBorder="1"/>
    <xf numFmtId="0" fontId="0" fillId="22" borderId="0" xfId="0" applyFill="1"/>
    <xf numFmtId="0" fontId="0" fillId="0" borderId="1" xfId="0" applyBorder="1" applyAlignment="1">
      <alignment horizontal="left"/>
    </xf>
    <xf numFmtId="0" fontId="25" fillId="0" borderId="0" xfId="0" applyFont="1" applyAlignment="1">
      <alignment horizontal="right"/>
    </xf>
    <xf numFmtId="0" fontId="43" fillId="0" borderId="1" xfId="0" applyFont="1" applyBorder="1" applyAlignment="1">
      <alignment horizontal="left"/>
    </xf>
    <xf numFmtId="0" fontId="2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2" fillId="0" borderId="0" xfId="0" applyFont="1"/>
    <xf numFmtId="0" fontId="43" fillId="0" borderId="0" xfId="0" applyFont="1" applyAlignment="1">
      <alignment horizontal="left" wrapText="1"/>
    </xf>
    <xf numFmtId="1" fontId="0" fillId="0" borderId="1" xfId="0" applyNumberFormat="1" applyBorder="1" applyAlignment="1">
      <alignment horizontal="left"/>
    </xf>
    <xf numFmtId="1" fontId="32" fillId="0" borderId="0" xfId="0" applyNumberFormat="1" applyFont="1" applyAlignment="1">
      <alignment horizontal="left"/>
    </xf>
    <xf numFmtId="0" fontId="25" fillId="0" borderId="3" xfId="0" applyFont="1" applyBorder="1" applyAlignment="1">
      <alignment horizontal="left"/>
    </xf>
    <xf numFmtId="0" fontId="25" fillId="0" borderId="4" xfId="0" applyFont="1" applyBorder="1" applyAlignment="1">
      <alignment horizontal="right"/>
    </xf>
    <xf numFmtId="0" fontId="25" fillId="0" borderId="3" xfId="0" applyFont="1" applyBorder="1"/>
    <xf numFmtId="0" fontId="25" fillId="0" borderId="4" xfId="0" applyFont="1" applyBorder="1" applyAlignment="1">
      <alignment horizontal="left"/>
    </xf>
    <xf numFmtId="0" fontId="0" fillId="21" borderId="0" xfId="0" applyFill="1"/>
    <xf numFmtId="0" fontId="53" fillId="22" borderId="0" xfId="0" applyFont="1" applyFill="1"/>
    <xf numFmtId="0" fontId="52" fillId="0" borderId="0" xfId="0" applyFont="1"/>
    <xf numFmtId="0" fontId="52" fillId="0" borderId="4" xfId="0" applyFont="1" applyBorder="1"/>
    <xf numFmtId="0" fontId="53" fillId="0" borderId="0" xfId="0" applyFont="1"/>
    <xf numFmtId="0" fontId="53" fillId="0" borderId="0" xfId="0" quotePrefix="1" applyFont="1"/>
    <xf numFmtId="0" fontId="0" fillId="22" borderId="1" xfId="0" applyFill="1" applyBorder="1"/>
    <xf numFmtId="0" fontId="25" fillId="22" borderId="0" xfId="0" applyFont="1" applyFill="1" applyAlignment="1">
      <alignment horizontal="right"/>
    </xf>
    <xf numFmtId="0" fontId="0" fillId="22" borderId="8" xfId="0" applyFill="1" applyBorder="1"/>
    <xf numFmtId="0" fontId="25" fillId="22" borderId="0" xfId="0" applyFont="1" applyFill="1" applyAlignment="1">
      <alignment horizontal="left"/>
    </xf>
    <xf numFmtId="0" fontId="43" fillId="22" borderId="1" xfId="0" applyFont="1" applyFill="1" applyBorder="1"/>
    <xf numFmtId="0" fontId="25" fillId="22" borderId="0" xfId="0" applyFont="1" applyFill="1"/>
    <xf numFmtId="0" fontId="0" fillId="21" borderId="11" xfId="0" applyFill="1" applyBorder="1"/>
    <xf numFmtId="10" fontId="0" fillId="0" borderId="0" xfId="0" applyNumberFormat="1"/>
    <xf numFmtId="37" fontId="25" fillId="0" borderId="0" xfId="51" applyFont="1"/>
    <xf numFmtId="37" fontId="24" fillId="0" borderId="0" xfId="51"/>
    <xf numFmtId="37" fontId="0" fillId="0" borderId="0" xfId="51" applyFont="1"/>
    <xf numFmtId="2" fontId="0" fillId="22" borderId="0" xfId="0" applyNumberFormat="1" applyFill="1"/>
    <xf numFmtId="2" fontId="25"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2" fillId="22" borderId="0" xfId="0" applyFont="1" applyFill="1"/>
    <xf numFmtId="0" fontId="32" fillId="22" borderId="0" xfId="0" applyFont="1" applyFill="1" applyAlignment="1">
      <alignment vertical="top"/>
    </xf>
    <xf numFmtId="0" fontId="43" fillId="0" borderId="1" xfId="0" applyFont="1" applyBorder="1" applyAlignment="1">
      <alignment wrapText="1"/>
    </xf>
    <xf numFmtId="0" fontId="43" fillId="0" borderId="0" xfId="0" applyFont="1" applyAlignment="1">
      <alignment wrapText="1"/>
    </xf>
    <xf numFmtId="165" fontId="57" fillId="0" borderId="0" xfId="54" applyNumberFormat="1" applyFont="1" applyFill="1" applyBorder="1" applyAlignment="1">
      <alignment horizontal="right"/>
    </xf>
    <xf numFmtId="0" fontId="0" fillId="22" borderId="0" xfId="4" applyNumberFormat="1" applyFont="1" applyFill="1"/>
    <xf numFmtId="0" fontId="25" fillId="22" borderId="0" xfId="4" applyNumberFormat="1" applyFont="1" applyFill="1" applyBorder="1" applyAlignment="1">
      <alignment horizontal="right"/>
    </xf>
    <xf numFmtId="0" fontId="25" fillId="0" borderId="0" xfId="4" applyNumberFormat="1" applyFont="1" applyFill="1"/>
    <xf numFmtId="0" fontId="0" fillId="0" borderId="0" xfId="4" applyNumberFormat="1" applyFont="1" applyFill="1" applyBorder="1" applyAlignment="1">
      <alignment horizontal="right"/>
    </xf>
    <xf numFmtId="0" fontId="25" fillId="0" borderId="0" xfId="4" applyNumberFormat="1" applyFont="1" applyFill="1" applyBorder="1" applyAlignment="1">
      <alignment horizontal="right"/>
    </xf>
    <xf numFmtId="0" fontId="2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6" fillId="23" borderId="6" xfId="54" applyFont="1" applyFill="1" applyBorder="1"/>
    <xf numFmtId="43" fontId="54" fillId="23" borderId="6" xfId="54" applyFont="1" applyFill="1" applyBorder="1" applyAlignment="1">
      <alignment horizontal="center"/>
    </xf>
    <xf numFmtId="43" fontId="36" fillId="23" borderId="6" xfId="54" applyFont="1" applyFill="1" applyBorder="1" applyAlignment="1"/>
    <xf numFmtId="43" fontId="0" fillId="0" borderId="6" xfId="54" applyFont="1" applyBorder="1"/>
    <xf numFmtId="43" fontId="33" fillId="0" borderId="6" xfId="54" applyFont="1" applyBorder="1" applyAlignment="1">
      <alignment horizontal="center"/>
    </xf>
    <xf numFmtId="43" fontId="0" fillId="0" borderId="6" xfId="54" applyFont="1" applyBorder="1" applyAlignment="1"/>
    <xf numFmtId="43" fontId="0" fillId="0" borderId="0" xfId="54" applyFont="1"/>
    <xf numFmtId="43" fontId="24" fillId="0" borderId="6" xfId="54" applyFont="1" applyBorder="1" applyAlignment="1">
      <alignment horizontal="center"/>
    </xf>
    <xf numFmtId="43" fontId="0" fillId="0" borderId="6" xfId="54" applyFont="1" applyBorder="1" applyAlignment="1">
      <alignment horizontal="center"/>
    </xf>
    <xf numFmtId="2" fontId="32" fillId="0" borderId="0" xfId="0" applyNumberFormat="1" applyFont="1"/>
    <xf numFmtId="0" fontId="25" fillId="22" borderId="0" xfId="4" applyNumberFormat="1" applyFont="1" applyFill="1"/>
    <xf numFmtId="0" fontId="25" fillId="22" borderId="0" xfId="4" applyNumberFormat="1" applyFont="1" applyFill="1" applyBorder="1"/>
    <xf numFmtId="0" fontId="2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4" fillId="0" borderId="0" xfId="54" applyFont="1" applyBorder="1" applyAlignment="1">
      <alignment vertical="center" textRotation="90"/>
    </xf>
    <xf numFmtId="43" fontId="0" fillId="0" borderId="14" xfId="54" applyFont="1" applyBorder="1"/>
    <xf numFmtId="43" fontId="33"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4" fillId="0" borderId="0" xfId="0" applyFont="1" applyAlignment="1">
      <alignment vertical="top" wrapText="1"/>
    </xf>
    <xf numFmtId="0" fontId="24" fillId="0" borderId="4" xfId="0" applyFont="1" applyBorder="1" applyAlignment="1">
      <alignment vertical="top" wrapText="1"/>
    </xf>
    <xf numFmtId="168" fontId="66" fillId="0" borderId="0" xfId="37" applyNumberFormat="1" applyFont="1" applyAlignment="1">
      <alignment horizontal="left"/>
    </xf>
    <xf numFmtId="0" fontId="59" fillId="0" borderId="0" xfId="37" applyFont="1" applyAlignment="1" applyProtection="1">
      <alignment horizontal="left" vertical="top" wrapText="1" readingOrder="1"/>
      <protection locked="0"/>
    </xf>
    <xf numFmtId="0" fontId="60" fillId="0" borderId="0" xfId="0" applyFont="1" applyAlignment="1" applyProtection="1">
      <alignment vertical="top" wrapText="1" readingOrder="1"/>
      <protection locked="0"/>
    </xf>
    <xf numFmtId="167" fontId="61" fillId="0" borderId="0" xfId="37" applyNumberFormat="1" applyFont="1" applyAlignment="1" applyProtection="1">
      <alignment horizontal="righ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2" fillId="0" borderId="0" xfId="37" applyFont="1" applyAlignment="1" applyProtection="1">
      <alignment vertical="top" wrapText="1" readingOrder="1"/>
      <protection locked="0"/>
    </xf>
    <xf numFmtId="0" fontId="24" fillId="0" borderId="0" xfId="37" applyAlignment="1">
      <alignment readingOrder="1"/>
    </xf>
    <xf numFmtId="49" fontId="26" fillId="0" borderId="0" xfId="57" applyNumberFormat="1" applyFont="1" applyFill="1" applyBorder="1" applyAlignment="1">
      <alignment horizontal="right"/>
    </xf>
    <xf numFmtId="49" fontId="68" fillId="0" borderId="0" xfId="58" applyNumberFormat="1" applyFont="1" applyFill="1" applyAlignment="1">
      <alignment horizontal="right"/>
    </xf>
    <xf numFmtId="0" fontId="64" fillId="0" borderId="0" xfId="0" applyFont="1"/>
    <xf numFmtId="0" fontId="43" fillId="22" borderId="0" xfId="0" applyFont="1" applyFill="1"/>
    <xf numFmtId="0" fontId="0" fillId="22" borderId="0" xfId="0" quotePrefix="1" applyFill="1"/>
    <xf numFmtId="0" fontId="25" fillId="22" borderId="13" xfId="0" applyFont="1" applyFill="1" applyBorder="1"/>
    <xf numFmtId="0" fontId="25" fillId="22" borderId="4" xfId="0" applyFont="1" applyFill="1" applyBorder="1"/>
    <xf numFmtId="0" fontId="0" fillId="22" borderId="4" xfId="0" applyFill="1" applyBorder="1"/>
    <xf numFmtId="0" fontId="5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4" fillId="0" borderId="0" xfId="37"/>
    <xf numFmtId="0" fontId="27" fillId="22" borderId="0" xfId="0" applyFont="1" applyFill="1"/>
    <xf numFmtId="0" fontId="37" fillId="0" borderId="0" xfId="0" applyFont="1"/>
    <xf numFmtId="0" fontId="69" fillId="0" borderId="0" xfId="0" applyFont="1"/>
    <xf numFmtId="0" fontId="25" fillId="25" borderId="15" xfId="60" applyFont="1" applyFill="1" applyBorder="1"/>
    <xf numFmtId="170" fontId="25" fillId="25" borderId="15" xfId="60" applyNumberFormat="1" applyFont="1" applyFill="1" applyBorder="1" applyAlignment="1">
      <alignment horizontal="left"/>
    </xf>
    <xf numFmtId="0" fontId="24" fillId="25" borderId="0" xfId="0" applyFont="1" applyFill="1"/>
    <xf numFmtId="0" fontId="25" fillId="25" borderId="21" xfId="60" applyFont="1" applyFill="1" applyBorder="1" applyProtection="1">
      <protection locked="0"/>
    </xf>
    <xf numFmtId="0" fontId="25" fillId="25" borderId="16" xfId="60" applyFont="1" applyFill="1" applyBorder="1" applyAlignment="1">
      <alignment wrapText="1"/>
    </xf>
    <xf numFmtId="0" fontId="25" fillId="25" borderId="16" xfId="60" applyFont="1" applyFill="1" applyBorder="1"/>
    <xf numFmtId="0" fontId="20" fillId="0" borderId="17" xfId="60" applyBorder="1" applyProtection="1">
      <protection locked="0"/>
    </xf>
    <xf numFmtId="0" fontId="25" fillId="25" borderId="15" xfId="60" applyFont="1" applyFill="1" applyBorder="1" applyAlignment="1">
      <alignment horizontal="left"/>
    </xf>
    <xf numFmtId="0" fontId="57" fillId="25" borderId="20" xfId="60" applyFont="1" applyFill="1" applyBorder="1" applyProtection="1">
      <protection locked="0"/>
    </xf>
    <xf numFmtId="167" fontId="60" fillId="0" borderId="0" xfId="37" applyNumberFormat="1" applyFont="1" applyAlignment="1" applyProtection="1">
      <alignment horizontal="right" vertical="top" wrapText="1" readingOrder="1"/>
      <protection locked="0"/>
    </xf>
    <xf numFmtId="0" fontId="26" fillId="22" borderId="0" xfId="0" applyFont="1" applyFill="1"/>
    <xf numFmtId="0" fontId="0" fillId="25" borderId="0" xfId="0" applyFill="1"/>
    <xf numFmtId="0" fontId="63" fillId="0" borderId="0" xfId="37" applyFont="1" applyAlignment="1" applyProtection="1">
      <alignment horizontal="right" vertical="top" wrapText="1" readingOrder="1"/>
      <protection locked="0"/>
    </xf>
    <xf numFmtId="0" fontId="59" fillId="0" borderId="0" xfId="37" applyFont="1" applyAlignment="1" applyProtection="1">
      <alignment vertical="top" wrapText="1" readingOrder="1"/>
      <protection locked="0"/>
    </xf>
    <xf numFmtId="0" fontId="62" fillId="0" borderId="0" xfId="37" applyFont="1" applyAlignment="1" applyProtection="1">
      <alignment horizontal="right" vertical="top" wrapText="1" readingOrder="1"/>
      <protection locked="0"/>
    </xf>
    <xf numFmtId="167" fontId="62" fillId="0" borderId="0" xfId="37" applyNumberFormat="1" applyFont="1" applyAlignment="1" applyProtection="1">
      <alignment horizontal="right" vertical="top" wrapText="1" readingOrder="1"/>
      <protection locked="0"/>
    </xf>
    <xf numFmtId="167" fontId="62" fillId="0" borderId="0" xfId="37" applyNumberFormat="1" applyFont="1" applyAlignment="1" applyProtection="1">
      <alignment vertical="top" wrapText="1" readingOrder="1"/>
      <protection locked="0"/>
    </xf>
    <xf numFmtId="167" fontId="60" fillId="0" borderId="0" xfId="37" applyNumberFormat="1" applyFont="1" applyAlignment="1" applyProtection="1">
      <alignment vertical="top" wrapText="1" readingOrder="1"/>
      <protection locked="0"/>
    </xf>
    <xf numFmtId="0" fontId="65" fillId="0" borderId="0" xfId="37" applyFont="1" applyAlignment="1" applyProtection="1">
      <alignment vertical="top" wrapText="1" readingOrder="1"/>
      <protection locked="0"/>
    </xf>
    <xf numFmtId="0" fontId="59" fillId="0" borderId="0" xfId="37" applyFont="1" applyAlignment="1" applyProtection="1">
      <alignment wrapText="1" readingOrder="1"/>
      <protection locked="0"/>
    </xf>
    <xf numFmtId="0" fontId="63"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2" fillId="0" borderId="4" xfId="37" applyFont="1" applyBorder="1" applyAlignment="1" applyProtection="1">
      <alignment horizontal="right" vertical="top" wrapText="1" readingOrder="1"/>
      <protection locked="0"/>
    </xf>
    <xf numFmtId="0" fontId="70" fillId="22" borderId="0" xfId="0" applyFont="1" applyFill="1"/>
    <xf numFmtId="0" fontId="71" fillId="22" borderId="0" xfId="0" applyFont="1" applyFill="1"/>
    <xf numFmtId="0" fontId="71" fillId="22" borderId="0" xfId="0" applyFont="1" applyFill="1" applyAlignment="1">
      <alignment horizontal="right"/>
    </xf>
    <xf numFmtId="10" fontId="24" fillId="22" borderId="0" xfId="4" applyNumberFormat="1" applyFont="1" applyFill="1" applyAlignment="1">
      <alignment horizontal="right"/>
    </xf>
    <xf numFmtId="0" fontId="24" fillId="25" borderId="0" xfId="0" applyFont="1" applyFill="1" applyAlignment="1">
      <alignment wrapText="1"/>
    </xf>
    <xf numFmtId="0" fontId="26" fillId="22" borderId="4" xfId="0" applyFont="1" applyFill="1" applyBorder="1"/>
    <xf numFmtId="0" fontId="25" fillId="25" borderId="22" xfId="60" applyFont="1" applyFill="1" applyBorder="1"/>
    <xf numFmtId="0" fontId="24" fillId="0" borderId="0" xfId="0" applyFont="1" applyAlignment="1" applyProtection="1">
      <alignment wrapText="1"/>
      <protection locked="0"/>
    </xf>
    <xf numFmtId="0" fontId="24" fillId="0" borderId="0" xfId="0" applyFont="1" applyProtection="1">
      <protection locked="0"/>
    </xf>
    <xf numFmtId="0" fontId="72" fillId="22" borderId="1" xfId="0" applyFont="1" applyFill="1" applyBorder="1"/>
    <xf numFmtId="0" fontId="72" fillId="22" borderId="0" xfId="0" applyFont="1" applyFill="1"/>
    <xf numFmtId="0" fontId="72" fillId="22" borderId="1" xfId="0" applyFont="1" applyFill="1" applyBorder="1" applyAlignment="1">
      <alignment horizontal="left"/>
    </xf>
    <xf numFmtId="165" fontId="73" fillId="22" borderId="0" xfId="54" applyNumberFormat="1" applyFont="1" applyFill="1" applyBorder="1" applyAlignment="1">
      <alignment horizontal="right"/>
    </xf>
    <xf numFmtId="0" fontId="73" fillId="22" borderId="0" xfId="0" applyFont="1" applyFill="1"/>
    <xf numFmtId="0" fontId="73" fillId="22" borderId="3" xfId="0" applyFont="1" applyFill="1" applyBorder="1"/>
    <xf numFmtId="0" fontId="73" fillId="22" borderId="4" xfId="0" applyFont="1" applyFill="1" applyBorder="1"/>
    <xf numFmtId="1" fontId="72" fillId="22" borderId="0" xfId="0" applyNumberFormat="1" applyFont="1" applyFill="1" applyAlignment="1">
      <alignment horizontal="left"/>
    </xf>
    <xf numFmtId="0" fontId="72" fillId="22" borderId="0" xfId="0" applyFont="1" applyFill="1" applyAlignment="1">
      <alignment horizontal="left"/>
    </xf>
    <xf numFmtId="0" fontId="72" fillId="22" borderId="1" xfId="0" applyFont="1" applyFill="1" applyBorder="1" applyAlignment="1">
      <alignment wrapText="1"/>
    </xf>
    <xf numFmtId="0" fontId="72" fillId="22" borderId="0" xfId="0" applyFont="1" applyFill="1" applyAlignment="1">
      <alignment wrapText="1"/>
    </xf>
    <xf numFmtId="1" fontId="7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5" fillId="22" borderId="8" xfId="0" applyFont="1" applyFill="1" applyBorder="1"/>
    <xf numFmtId="0" fontId="25" fillId="22" borderId="7" xfId="0" applyFont="1" applyFill="1" applyBorder="1"/>
    <xf numFmtId="0" fontId="75" fillId="0" borderId="25" xfId="60" applyFont="1" applyBorder="1" applyAlignment="1" applyProtection="1">
      <alignment wrapText="1"/>
      <protection locked="0"/>
    </xf>
    <xf numFmtId="0" fontId="75" fillId="0" borderId="26" xfId="60" applyFont="1" applyBorder="1" applyAlignment="1" applyProtection="1">
      <alignment wrapText="1"/>
      <protection locked="0"/>
    </xf>
    <xf numFmtId="0" fontId="75" fillId="0" borderId="27" xfId="60" applyFont="1" applyBorder="1" applyAlignment="1" applyProtection="1">
      <alignment wrapText="1"/>
      <protection locked="0"/>
    </xf>
    <xf numFmtId="0" fontId="75" fillId="0" borderId="23" xfId="60" applyFont="1" applyBorder="1" applyAlignment="1" applyProtection="1">
      <alignment wrapText="1"/>
      <protection locked="0"/>
    </xf>
    <xf numFmtId="0" fontId="75" fillId="0" borderId="28" xfId="60" applyFont="1" applyBorder="1" applyAlignment="1" applyProtection="1">
      <alignment wrapText="1"/>
      <protection locked="0"/>
    </xf>
    <xf numFmtId="0" fontId="75" fillId="0" borderId="24" xfId="60" applyFont="1" applyBorder="1" applyAlignment="1" applyProtection="1">
      <alignment wrapText="1"/>
      <protection locked="0"/>
    </xf>
    <xf numFmtId="0" fontId="75" fillId="0" borderId="29" xfId="60" applyFont="1" applyBorder="1" applyAlignment="1" applyProtection="1">
      <alignment wrapText="1"/>
      <protection locked="0"/>
    </xf>
    <xf numFmtId="0" fontId="75" fillId="0" borderId="30" xfId="60" applyFont="1" applyBorder="1" applyAlignment="1" applyProtection="1">
      <alignment vertical="top" wrapText="1"/>
      <protection locked="0"/>
    </xf>
    <xf numFmtId="0" fontId="25" fillId="22" borderId="31" xfId="0" applyFont="1" applyFill="1" applyBorder="1"/>
    <xf numFmtId="0" fontId="75" fillId="0" borderId="32" xfId="60" applyFont="1" applyBorder="1" applyAlignment="1" applyProtection="1">
      <alignment wrapText="1"/>
      <protection locked="0"/>
    </xf>
    <xf numFmtId="0" fontId="75" fillId="0" borderId="33" xfId="60" applyFont="1" applyBorder="1" applyAlignment="1" applyProtection="1">
      <alignment vertical="top" wrapText="1"/>
      <protection locked="0"/>
    </xf>
    <xf numFmtId="0" fontId="75" fillId="0" borderId="31" xfId="60" applyFont="1" applyBorder="1" applyAlignment="1" applyProtection="1">
      <alignment wrapText="1"/>
      <protection locked="0"/>
    </xf>
    <xf numFmtId="0" fontId="75" fillId="0" borderId="35" xfId="60" applyFont="1" applyBorder="1" applyAlignment="1" applyProtection="1">
      <alignment wrapText="1"/>
      <protection locked="0"/>
    </xf>
    <xf numFmtId="0" fontId="0" fillId="0" borderId="34" xfId="0" applyBorder="1" applyAlignment="1">
      <alignment horizontal="center"/>
    </xf>
    <xf numFmtId="0" fontId="74" fillId="25" borderId="0" xfId="0" applyFont="1" applyFill="1"/>
    <xf numFmtId="0" fontId="0" fillId="0" borderId="0" xfId="0" quotePrefix="1" applyAlignment="1">
      <alignment horizontal="left" indent="2"/>
    </xf>
    <xf numFmtId="0" fontId="19" fillId="0" borderId="15" xfId="60" applyFont="1" applyBorder="1" applyAlignment="1" applyProtection="1">
      <alignment wrapText="1"/>
      <protection locked="0"/>
    </xf>
    <xf numFmtId="0" fontId="19"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76" fillId="0" borderId="0" xfId="0" applyFont="1"/>
    <xf numFmtId="0" fontId="0" fillId="0" borderId="39" xfId="0" applyBorder="1"/>
    <xf numFmtId="0" fontId="0" fillId="0" borderId="40" xfId="0" applyBorder="1"/>
    <xf numFmtId="0" fontId="77" fillId="0" borderId="38" xfId="0" applyFont="1" applyBorder="1"/>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43" fontId="0" fillId="0" borderId="0" xfId="54" applyFont="1" applyBorder="1"/>
    <xf numFmtId="43" fontId="33" fillId="0" borderId="0" xfId="54" applyFont="1" applyBorder="1" applyAlignment="1">
      <alignment horizontal="center"/>
    </xf>
    <xf numFmtId="43" fontId="0" fillId="0" borderId="0" xfId="54" applyFont="1" applyBorder="1" applyAlignment="1"/>
    <xf numFmtId="43" fontId="0" fillId="0" borderId="0" xfId="0" applyNumberFormat="1"/>
    <xf numFmtId="0" fontId="62" fillId="0" borderId="15" xfId="0" applyFont="1" applyBorder="1" applyAlignment="1" applyProtection="1">
      <alignment vertical="top" wrapText="1" readingOrder="1"/>
      <protection locked="0"/>
    </xf>
    <xf numFmtId="167" fontId="62" fillId="0" borderId="15" xfId="37" applyNumberFormat="1" applyFont="1" applyBorder="1" applyAlignment="1" applyProtection="1">
      <alignment horizontal="right" vertical="top" wrapText="1" readingOrder="1"/>
      <protection locked="0"/>
    </xf>
    <xf numFmtId="0" fontId="25" fillId="0" borderId="0" xfId="0" applyFont="1" applyAlignment="1">
      <alignment horizontal="left"/>
    </xf>
    <xf numFmtId="0" fontId="2" fillId="0" borderId="15" xfId="60" applyFont="1" applyBorder="1" applyAlignment="1" applyProtection="1">
      <alignment wrapText="1"/>
      <protection locked="0"/>
    </xf>
    <xf numFmtId="0" fontId="1" fillId="0" borderId="15" xfId="60" applyFont="1" applyBorder="1" applyAlignment="1" applyProtection="1">
      <alignment wrapText="1"/>
      <protection locked="0"/>
    </xf>
    <xf numFmtId="0" fontId="0" fillId="0" borderId="0" xfId="0" applyAlignment="1">
      <alignment horizontal="left"/>
    </xf>
    <xf numFmtId="0" fontId="25" fillId="0" borderId="0" xfId="0" applyFont="1" applyAlignment="1">
      <alignment horizontal="left"/>
    </xf>
    <xf numFmtId="0" fontId="0" fillId="0" borderId="0" xfId="0" applyAlignment="1">
      <alignment horizontal="center"/>
    </xf>
    <xf numFmtId="2" fontId="25" fillId="0" borderId="0" xfId="4" applyNumberFormat="1" applyFont="1" applyAlignment="1">
      <alignment horizontal="right"/>
    </xf>
    <xf numFmtId="0" fontId="40" fillId="23" borderId="0" xfId="0" applyFont="1" applyFill="1" applyAlignment="1">
      <alignment horizontal="center" vertical="center"/>
    </xf>
    <xf numFmtId="2" fontId="0" fillId="0" borderId="0" xfId="52" applyNumberFormat="1" applyFont="1" applyAlignment="1">
      <alignment horizontal="center"/>
    </xf>
    <xf numFmtId="43" fontId="26" fillId="0" borderId="14" xfId="54" applyFont="1" applyBorder="1" applyAlignment="1">
      <alignment horizontal="center" vertical="center" textRotation="90"/>
    </xf>
    <xf numFmtId="43" fontId="26"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2" fillId="23" borderId="0" xfId="0" quotePrefix="1" applyFont="1" applyFill="1" applyAlignment="1">
      <alignment horizontal="center"/>
    </xf>
    <xf numFmtId="0" fontId="25" fillId="0" borderId="0" xfId="0" applyFont="1" applyAlignment="1">
      <alignment horizontal="center"/>
    </xf>
    <xf numFmtId="2" fontId="25" fillId="0" borderId="0" xfId="4" applyNumberFormat="1" applyFont="1" applyAlignment="1">
      <alignment horizontal="center"/>
    </xf>
    <xf numFmtId="1" fontId="0" fillId="0" borderId="0" xfId="0" applyNumberFormat="1" applyAlignment="1">
      <alignment horizontal="center"/>
    </xf>
    <xf numFmtId="0" fontId="56" fillId="23" borderId="0" xfId="0" applyFont="1" applyFill="1" applyAlignment="1">
      <alignment horizontal="center" vertical="center"/>
    </xf>
    <xf numFmtId="0" fontId="37" fillId="0" borderId="0" xfId="0" applyFont="1" applyAlignment="1">
      <alignment horizontal="center"/>
    </xf>
    <xf numFmtId="0" fontId="25" fillId="0" borderId="9"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164" fontId="0"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5" fillId="3" borderId="1" xfId="0" applyFont="1" applyFill="1" applyBorder="1" applyAlignment="1" applyProtection="1">
      <alignment horizontal="center" vertical="center" wrapText="1"/>
      <protection locked="0"/>
    </xf>
    <xf numFmtId="0" fontId="25" fillId="3" borderId="0" xfId="0" applyFont="1" applyFill="1" applyAlignment="1" applyProtection="1">
      <alignment horizontal="center" vertical="center" wrapText="1"/>
      <protection locked="0"/>
    </xf>
    <xf numFmtId="0" fontId="25" fillId="3" borderId="2" xfId="0" applyFont="1" applyFill="1" applyBorder="1" applyAlignment="1" applyProtection="1">
      <alignment horizontal="center" vertical="center" wrapText="1"/>
      <protection locked="0"/>
    </xf>
    <xf numFmtId="0" fontId="38" fillId="5" borderId="4" xfId="0" applyFont="1" applyFill="1" applyBorder="1" applyAlignment="1">
      <alignment horizontal="center"/>
    </xf>
    <xf numFmtId="43" fontId="24"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43" fontId="24" fillId="0" borderId="14" xfId="54" applyFont="1" applyBorder="1" applyAlignment="1">
      <alignment horizontal="center"/>
    </xf>
    <xf numFmtId="0" fontId="27" fillId="2" borderId="4" xfId="0" applyFont="1" applyFill="1" applyBorder="1" applyAlignment="1">
      <alignment horizontal="center"/>
    </xf>
    <xf numFmtId="1" fontId="26" fillId="0" borderId="4" xfId="4" applyNumberFormat="1" applyFont="1" applyBorder="1" applyAlignment="1">
      <alignment horizontal="center"/>
    </xf>
    <xf numFmtId="43" fontId="24" fillId="0" borderId="0" xfId="54" applyFont="1" applyBorder="1" applyAlignment="1">
      <alignment horizontal="center"/>
    </xf>
    <xf numFmtId="164" fontId="24" fillId="0" borderId="6" xfId="54" applyNumberFormat="1" applyFont="1" applyBorder="1" applyAlignment="1">
      <alignment horizontal="center"/>
    </xf>
    <xf numFmtId="0" fontId="24" fillId="0" borderId="0" xfId="0" applyFont="1" applyAlignment="1">
      <alignment horizontal="left" vertical="top" wrapText="1"/>
    </xf>
    <xf numFmtId="0" fontId="24" fillId="0" borderId="8" xfId="0" applyFont="1" applyBorder="1" applyAlignment="1">
      <alignment horizontal="left"/>
    </xf>
    <xf numFmtId="0" fontId="24" fillId="0" borderId="9" xfId="0" applyFont="1" applyBorder="1" applyAlignment="1">
      <alignment horizontal="left"/>
    </xf>
    <xf numFmtId="0" fontId="24" fillId="0" borderId="7" xfId="0" applyFont="1" applyBorder="1" applyAlignment="1">
      <alignment horizontal="left"/>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25" fillId="3" borderId="3" xfId="0" applyFont="1" applyFill="1" applyBorder="1" applyAlignment="1" applyProtection="1">
      <alignment horizontal="center" vertical="center" wrapText="1"/>
      <protection locked="0"/>
    </xf>
    <xf numFmtId="0" fontId="25" fillId="3" borderId="4" xfId="0" applyFont="1" applyFill="1" applyBorder="1" applyAlignment="1" applyProtection="1">
      <alignment horizontal="center" vertical="center" wrapText="1"/>
      <protection locked="0"/>
    </xf>
    <xf numFmtId="0" fontId="25" fillId="3" borderId="5"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left" vertical="center" wrapText="1"/>
      <protection locked="0"/>
    </xf>
    <xf numFmtId="0" fontId="24" fillId="4" borderId="0" xfId="0" applyFont="1" applyFill="1" applyAlignment="1" applyProtection="1">
      <alignment horizontal="left" vertical="center" wrapText="1"/>
      <protection locked="0"/>
    </xf>
    <xf numFmtId="0" fontId="24" fillId="4" borderId="2" xfId="0" applyFont="1" applyFill="1" applyBorder="1" applyAlignment="1" applyProtection="1">
      <alignment horizontal="left" vertical="center" wrapText="1"/>
      <protection locked="0"/>
    </xf>
    <xf numFmtId="43" fontId="36" fillId="21" borderId="6" xfId="54" applyFont="1" applyFill="1" applyBorder="1" applyAlignment="1">
      <alignment horizontal="center"/>
    </xf>
    <xf numFmtId="43" fontId="36" fillId="23" borderId="6" xfId="54" applyFont="1" applyFill="1" applyBorder="1" applyAlignment="1">
      <alignment horizontal="center"/>
    </xf>
    <xf numFmtId="0" fontId="25" fillId="0" borderId="8" xfId="0" applyFont="1" applyBorder="1" applyAlignment="1">
      <alignment horizontal="left" vertical="top"/>
    </xf>
    <xf numFmtId="0" fontId="25" fillId="0" borderId="9" xfId="0" applyFont="1" applyBorder="1" applyAlignment="1">
      <alignment horizontal="left" vertical="top"/>
    </xf>
    <xf numFmtId="0" fontId="25" fillId="0" borderId="7" xfId="0" applyFont="1" applyBorder="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xf>
    <xf numFmtId="0" fontId="25" fillId="0" borderId="2" xfId="0" applyFont="1" applyBorder="1" applyAlignment="1">
      <alignment horizontal="left" vertical="top"/>
    </xf>
    <xf numFmtId="0" fontId="38" fillId="6" borderId="4" xfId="0" applyFont="1" applyFill="1" applyBorder="1" applyAlignment="1">
      <alignment horizontal="center"/>
    </xf>
    <xf numFmtId="0" fontId="28" fillId="0" borderId="0" xfId="0" applyFont="1" applyAlignment="1">
      <alignment horizontal="left"/>
    </xf>
    <xf numFmtId="0" fontId="38" fillId="23" borderId="4" xfId="0" applyFont="1" applyFill="1" applyBorder="1" applyAlignment="1">
      <alignment horizontal="center"/>
    </xf>
    <xf numFmtId="0" fontId="0" fillId="23" borderId="4" xfId="0" applyFill="1" applyBorder="1" applyAlignment="1">
      <alignment horizontal="center"/>
    </xf>
    <xf numFmtId="0" fontId="30" fillId="3" borderId="0" xfId="0" applyFont="1" applyFill="1" applyAlignment="1" applyProtection="1">
      <alignment horizontal="left" vertical="top" wrapText="1"/>
      <protection locked="0"/>
    </xf>
    <xf numFmtId="0" fontId="24" fillId="0" borderId="0" xfId="0" applyFont="1" applyAlignment="1">
      <alignment horizontal="left"/>
    </xf>
    <xf numFmtId="0" fontId="24" fillId="0" borderId="1"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25" fillId="21" borderId="0" xfId="4" applyNumberFormat="1" applyFont="1" applyFill="1" applyAlignment="1">
      <alignment horizontal="center"/>
    </xf>
    <xf numFmtId="0" fontId="25"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3" fillId="22" borderId="1" xfId="0" applyFont="1" applyFill="1" applyBorder="1" applyAlignment="1">
      <alignment horizontal="left" wrapText="1"/>
    </xf>
    <xf numFmtId="0" fontId="43" fillId="22" borderId="0" xfId="0" applyFont="1" applyFill="1" applyAlignment="1">
      <alignment horizontal="left" wrapText="1"/>
    </xf>
    <xf numFmtId="0" fontId="72" fillId="22" borderId="1" xfId="0" applyFont="1" applyFill="1" applyBorder="1" applyAlignment="1">
      <alignment horizontal="left" vertical="top" wrapText="1"/>
    </xf>
    <xf numFmtId="0" fontId="72" fillId="22" borderId="0" xfId="0" applyFont="1" applyFill="1" applyAlignment="1">
      <alignment horizontal="left" vertical="top" wrapText="1"/>
    </xf>
    <xf numFmtId="0" fontId="72" fillId="22" borderId="2" xfId="0" applyFont="1" applyFill="1" applyBorder="1" applyAlignment="1">
      <alignment horizontal="left" vertical="top" wrapText="1"/>
    </xf>
    <xf numFmtId="0" fontId="25" fillId="25" borderId="18" xfId="60" applyFont="1" applyFill="1" applyBorder="1" applyAlignment="1">
      <alignment horizontal="left" vertical="center" wrapText="1"/>
    </xf>
    <xf numFmtId="0" fontId="25" fillId="25" borderId="19" xfId="60" applyFont="1" applyFill="1" applyBorder="1" applyAlignment="1">
      <alignment horizontal="left" vertical="center" wrapText="1"/>
    </xf>
    <xf numFmtId="167" fontId="60"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
                <c:pt idx="4">
                  <c:v>u</c:v>
                </c:pt>
              </c:strCache>
            </c:strRef>
          </c:cat>
          <c:val>
            <c:numRef>
              <c:f>[0]!TopQuart</c:f>
              <c:numCache>
                <c:formatCode>General</c:formatCode>
                <c:ptCount val="62"/>
                <c:pt idx="0">
                  <c:v>99.26</c:v>
                </c:pt>
                <c:pt idx="1">
                  <c:v>98.46</c:v>
                </c:pt>
                <c:pt idx="2">
                  <c:v>98.24</c:v>
                </c:pt>
                <c:pt idx="3">
                  <c:v>97.98</c:v>
                </c:pt>
                <c:pt idx="4">
                  <c:v>97.94</c:v>
                </c:pt>
                <c:pt idx="5">
                  <c:v>97.94</c:v>
                </c:pt>
                <c:pt idx="6">
                  <c:v>97.87</c:v>
                </c:pt>
                <c:pt idx="7">
                  <c:v>97.82</c:v>
                </c:pt>
                <c:pt idx="8">
                  <c:v>97.71</c:v>
                </c:pt>
                <c:pt idx="9">
                  <c:v>97.58</c:v>
                </c:pt>
                <c:pt idx="10">
                  <c:v>97.55</c:v>
                </c:pt>
                <c:pt idx="11">
                  <c:v>97.49</c:v>
                </c:pt>
                <c:pt idx="12">
                  <c:v>97.41</c:v>
                </c:pt>
                <c:pt idx="13">
                  <c:v>97.38</c:v>
                </c:pt>
                <c:pt idx="14">
                  <c:v>97.38</c:v>
                </c:pt>
                <c:pt idx="15">
                  <c:v>97.35</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
                <c:pt idx="4">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97.31</c:v>
                </c:pt>
                <c:pt idx="17">
                  <c:v>97.24</c:v>
                </c:pt>
                <c:pt idx="18">
                  <c:v>97.13</c:v>
                </c:pt>
                <c:pt idx="19">
                  <c:v>97.1</c:v>
                </c:pt>
                <c:pt idx="20">
                  <c:v>97.07</c:v>
                </c:pt>
                <c:pt idx="21">
                  <c:v>97.03</c:v>
                </c:pt>
                <c:pt idx="22">
                  <c:v>97</c:v>
                </c:pt>
                <c:pt idx="23">
                  <c:v>96.98</c:v>
                </c:pt>
                <c:pt idx="24">
                  <c:v>96.69</c:v>
                </c:pt>
                <c:pt idx="25">
                  <c:v>96.58</c:v>
                </c:pt>
                <c:pt idx="26">
                  <c:v>96.5</c:v>
                </c:pt>
                <c:pt idx="27">
                  <c:v>96.45</c:v>
                </c:pt>
                <c:pt idx="28">
                  <c:v>96.39</c:v>
                </c:pt>
                <c:pt idx="29">
                  <c:v>96.37</c:v>
                </c:pt>
                <c:pt idx="30">
                  <c:v>96.35</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
                <c:pt idx="4">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96.29</c:v>
                </c:pt>
                <c:pt idx="32">
                  <c:v>96.26</c:v>
                </c:pt>
                <c:pt idx="33">
                  <c:v>96.23</c:v>
                </c:pt>
                <c:pt idx="34">
                  <c:v>96.13</c:v>
                </c:pt>
                <c:pt idx="35">
                  <c:v>96.04</c:v>
                </c:pt>
                <c:pt idx="36">
                  <c:v>95.87</c:v>
                </c:pt>
                <c:pt idx="37">
                  <c:v>95.71</c:v>
                </c:pt>
                <c:pt idx="38">
                  <c:v>95.7</c:v>
                </c:pt>
                <c:pt idx="39">
                  <c:v>95.67</c:v>
                </c:pt>
                <c:pt idx="40">
                  <c:v>95.37</c:v>
                </c:pt>
                <c:pt idx="41">
                  <c:v>95.3</c:v>
                </c:pt>
                <c:pt idx="42">
                  <c:v>95.09</c:v>
                </c:pt>
                <c:pt idx="43">
                  <c:v>94.96</c:v>
                </c:pt>
                <c:pt idx="44">
                  <c:v>94.75</c:v>
                </c:pt>
                <c:pt idx="45">
                  <c:v>94.61</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
                <c:pt idx="4">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94.49</c:v>
                </c:pt>
                <c:pt idx="47">
                  <c:v>94.39</c:v>
                </c:pt>
                <c:pt idx="48">
                  <c:v>94.31</c:v>
                </c:pt>
                <c:pt idx="49">
                  <c:v>93.89</c:v>
                </c:pt>
                <c:pt idx="50">
                  <c:v>93.78</c:v>
                </c:pt>
                <c:pt idx="51">
                  <c:v>93.24</c:v>
                </c:pt>
                <c:pt idx="52">
                  <c:v>93.04</c:v>
                </c:pt>
                <c:pt idx="53">
                  <c:v>92.88</c:v>
                </c:pt>
                <c:pt idx="54">
                  <c:v>92.84</c:v>
                </c:pt>
                <c:pt idx="55">
                  <c:v>92.73</c:v>
                </c:pt>
                <c:pt idx="56">
                  <c:v>92.6</c:v>
                </c:pt>
                <c:pt idx="57">
                  <c:v>92.48</c:v>
                </c:pt>
                <c:pt idx="58">
                  <c:v>92.43</c:v>
                </c:pt>
                <c:pt idx="59">
                  <c:v>92.08</c:v>
                </c:pt>
                <c:pt idx="60">
                  <c:v>91.77</c:v>
                </c:pt>
                <c:pt idx="61">
                  <c:v>88.97</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5"/>
                <c:pt idx="4">
                  <c:v>u</c:v>
                </c:pt>
              </c:strCache>
            </c:strRef>
          </c:cat>
          <c:val>
            <c:numRef>
              <c:f>[0]!MarkData</c:f>
              <c:numCache>
                <c:formatCode>0.00</c:formatCode>
                <c:ptCount val="62"/>
                <c:pt idx="0">
                  <c:v>99.26</c:v>
                </c:pt>
                <c:pt idx="1">
                  <c:v>98.46</c:v>
                </c:pt>
                <c:pt idx="2">
                  <c:v>98.24</c:v>
                </c:pt>
                <c:pt idx="3">
                  <c:v>97.98</c:v>
                </c:pt>
                <c:pt idx="4">
                  <c:v>97.94</c:v>
                </c:pt>
                <c:pt idx="5">
                  <c:v>97.94</c:v>
                </c:pt>
                <c:pt idx="6">
                  <c:v>97.87</c:v>
                </c:pt>
                <c:pt idx="7">
                  <c:v>97.82</c:v>
                </c:pt>
                <c:pt idx="8">
                  <c:v>97.71</c:v>
                </c:pt>
                <c:pt idx="9">
                  <c:v>97.58</c:v>
                </c:pt>
                <c:pt idx="10">
                  <c:v>97.55</c:v>
                </c:pt>
                <c:pt idx="11">
                  <c:v>97.49</c:v>
                </c:pt>
                <c:pt idx="12">
                  <c:v>97.41</c:v>
                </c:pt>
                <c:pt idx="13">
                  <c:v>97.38</c:v>
                </c:pt>
                <c:pt idx="14">
                  <c:v>97.38</c:v>
                </c:pt>
                <c:pt idx="15">
                  <c:v>97.35</c:v>
                </c:pt>
                <c:pt idx="16">
                  <c:v>97.31</c:v>
                </c:pt>
                <c:pt idx="17">
                  <c:v>97.24</c:v>
                </c:pt>
                <c:pt idx="18">
                  <c:v>97.13</c:v>
                </c:pt>
                <c:pt idx="19">
                  <c:v>97.1</c:v>
                </c:pt>
                <c:pt idx="20">
                  <c:v>97.07</c:v>
                </c:pt>
                <c:pt idx="21">
                  <c:v>97.03</c:v>
                </c:pt>
                <c:pt idx="22">
                  <c:v>97</c:v>
                </c:pt>
                <c:pt idx="23">
                  <c:v>96.98</c:v>
                </c:pt>
                <c:pt idx="24">
                  <c:v>96.69</c:v>
                </c:pt>
                <c:pt idx="25">
                  <c:v>96.58</c:v>
                </c:pt>
                <c:pt idx="26">
                  <c:v>96.5</c:v>
                </c:pt>
                <c:pt idx="27">
                  <c:v>96.45</c:v>
                </c:pt>
                <c:pt idx="28">
                  <c:v>96.39</c:v>
                </c:pt>
                <c:pt idx="29">
                  <c:v>96.37</c:v>
                </c:pt>
                <c:pt idx="30">
                  <c:v>96.35</c:v>
                </c:pt>
                <c:pt idx="31">
                  <c:v>96.29</c:v>
                </c:pt>
                <c:pt idx="32">
                  <c:v>96.26</c:v>
                </c:pt>
                <c:pt idx="33">
                  <c:v>96.23</c:v>
                </c:pt>
                <c:pt idx="34">
                  <c:v>96.13</c:v>
                </c:pt>
                <c:pt idx="35">
                  <c:v>96.04</c:v>
                </c:pt>
                <c:pt idx="36">
                  <c:v>95.87</c:v>
                </c:pt>
                <c:pt idx="37">
                  <c:v>95.71</c:v>
                </c:pt>
                <c:pt idx="38">
                  <c:v>95.7</c:v>
                </c:pt>
                <c:pt idx="39">
                  <c:v>95.67</c:v>
                </c:pt>
                <c:pt idx="40">
                  <c:v>95.37</c:v>
                </c:pt>
                <c:pt idx="41">
                  <c:v>95.3</c:v>
                </c:pt>
                <c:pt idx="42">
                  <c:v>95.09</c:v>
                </c:pt>
                <c:pt idx="43">
                  <c:v>94.96</c:v>
                </c:pt>
                <c:pt idx="44">
                  <c:v>94.75</c:v>
                </c:pt>
                <c:pt idx="45">
                  <c:v>94.61</c:v>
                </c:pt>
                <c:pt idx="46">
                  <c:v>94.49</c:v>
                </c:pt>
                <c:pt idx="47">
                  <c:v>94.39</c:v>
                </c:pt>
                <c:pt idx="48">
                  <c:v>94.31</c:v>
                </c:pt>
                <c:pt idx="49">
                  <c:v>93.89</c:v>
                </c:pt>
                <c:pt idx="50">
                  <c:v>93.78</c:v>
                </c:pt>
                <c:pt idx="51">
                  <c:v>93.24</c:v>
                </c:pt>
                <c:pt idx="52">
                  <c:v>93.04</c:v>
                </c:pt>
                <c:pt idx="53">
                  <c:v>92.88</c:v>
                </c:pt>
                <c:pt idx="54">
                  <c:v>92.84</c:v>
                </c:pt>
                <c:pt idx="55">
                  <c:v>92.73</c:v>
                </c:pt>
                <c:pt idx="56">
                  <c:v>92.6</c:v>
                </c:pt>
                <c:pt idx="57">
                  <c:v>92.48</c:v>
                </c:pt>
                <c:pt idx="58">
                  <c:v>92.43</c:v>
                </c:pt>
                <c:pt idx="59">
                  <c:v>92.08</c:v>
                </c:pt>
                <c:pt idx="60">
                  <c:v>91.77</c:v>
                </c:pt>
                <c:pt idx="61">
                  <c:v>88.97</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97.94</c:v>
                </c:pt>
                <c:pt idx="1">
                  <c:v>95.765322580645176</c:v>
                </c:pt>
                <c:pt idx="2">
                  <c:v>95.372500000000002</c:v>
                </c:pt>
                <c:pt idx="3">
                  <c:v>96.816666666666663</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97.34</c:v>
                </c:pt>
                <c:pt idx="1">
                  <c:v>97.34</c:v>
                </c:pt>
                <c:pt idx="2">
                  <c:v>97.34</c:v>
                </c:pt>
                <c:pt idx="3">
                  <c:v>97.34</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96.32</c:v>
                </c:pt>
                <c:pt idx="1">
                  <c:v>96.32</c:v>
                </c:pt>
                <c:pt idx="2">
                  <c:v>96.32</c:v>
                </c:pt>
                <c:pt idx="3">
                  <c:v>96.32</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94.52</c:v>
                </c:pt>
                <c:pt idx="1">
                  <c:v>94.52</c:v>
                </c:pt>
                <c:pt idx="2">
                  <c:v>94.52</c:v>
                </c:pt>
                <c:pt idx="3">
                  <c:v>94.52</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97.94</c:v>
                </c:pt>
                <c:pt idx="1">
                  <c:v>96.969999999999985</c:v>
                </c:pt>
                <c:pt idx="2">
                  <c:v>95.028888888888858</c:v>
                </c:pt>
                <c:pt idx="3">
                  <c:v>96.532727272727286</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97.34</c:v>
                </c:pt>
                <c:pt idx="1">
                  <c:v>97.34</c:v>
                </c:pt>
                <c:pt idx="2">
                  <c:v>97.34</c:v>
                </c:pt>
                <c:pt idx="3">
                  <c:v>97.34</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96.32</c:v>
                </c:pt>
                <c:pt idx="1">
                  <c:v>96.32</c:v>
                </c:pt>
                <c:pt idx="2">
                  <c:v>96.32</c:v>
                </c:pt>
                <c:pt idx="3">
                  <c:v>96.32</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94.52</c:v>
                </c:pt>
                <c:pt idx="1">
                  <c:v>94.52</c:v>
                </c:pt>
                <c:pt idx="2">
                  <c:v>94.52</c:v>
                </c:pt>
                <c:pt idx="3">
                  <c:v>94.52</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50" t="str">
        <f>VLOOKUP('Filtered Data'!D1,'Filtered Data'!L1:O6,3,FALSE)</f>
        <v>Unitary</v>
      </c>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row>
    <row r="2" spans="2:40"/>
    <row r="3" spans="2:40" ht="19.5" customHeight="1">
      <c r="B3" s="273" t="str">
        <f>Data!B3</f>
        <v>Planning Application Turnaround</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2:40">
      <c r="D4" s="3"/>
      <c r="E4" s="3"/>
    </row>
    <row r="5" spans="2:40" ht="15.75" customHeight="1">
      <c r="B5" s="301" t="s">
        <v>334</v>
      </c>
      <c r="C5" s="301"/>
      <c r="D5" s="301"/>
      <c r="E5" s="301"/>
      <c r="J5" s="304" t="s">
        <v>304</v>
      </c>
      <c r="K5" s="304"/>
      <c r="L5" s="304"/>
      <c r="M5" s="304"/>
      <c r="N5" s="304"/>
      <c r="O5" s="304"/>
      <c r="P5" s="304"/>
      <c r="Q5" s="304"/>
      <c r="R5" s="304"/>
      <c r="S5" s="304"/>
      <c r="W5" s="280" t="s">
        <v>361</v>
      </c>
      <c r="X5" s="281"/>
      <c r="Y5" s="281"/>
      <c r="Z5" s="281"/>
      <c r="AA5" s="281"/>
      <c r="AB5" s="281"/>
      <c r="AC5" s="281"/>
      <c r="AD5" s="281"/>
      <c r="AE5" s="281"/>
      <c r="AF5" s="281"/>
      <c r="AG5" s="281"/>
      <c r="AH5" s="281"/>
      <c r="AI5" s="281"/>
      <c r="AJ5" s="281"/>
      <c r="AK5" s="281"/>
      <c r="AL5" s="281"/>
      <c r="AM5" s="282"/>
    </row>
    <row r="6" spans="2:40" ht="17.25" customHeight="1">
      <c r="J6" s="304"/>
      <c r="K6" s="304"/>
      <c r="L6" s="304"/>
      <c r="M6" s="304"/>
      <c r="N6" s="304"/>
      <c r="O6" s="304"/>
      <c r="P6" s="304"/>
      <c r="Q6" s="304"/>
      <c r="R6" s="304"/>
      <c r="S6" s="304"/>
      <c r="W6" s="283" t="s">
        <v>901</v>
      </c>
      <c r="X6" s="284"/>
      <c r="Y6" s="284"/>
      <c r="Z6" s="284"/>
      <c r="AA6" s="284"/>
      <c r="AB6" s="284"/>
      <c r="AC6" s="284"/>
      <c r="AD6" s="284"/>
      <c r="AE6" s="284"/>
      <c r="AF6" s="284"/>
      <c r="AG6" s="284"/>
      <c r="AH6" s="284"/>
      <c r="AI6" s="284"/>
      <c r="AJ6" s="284"/>
      <c r="AK6" s="284"/>
      <c r="AL6" s="284"/>
      <c r="AM6" s="285"/>
    </row>
    <row r="7" spans="2:40" ht="12.75" customHeight="1">
      <c r="W7" s="283"/>
      <c r="X7" s="284"/>
      <c r="Y7" s="284"/>
      <c r="Z7" s="284"/>
      <c r="AA7" s="284"/>
      <c r="AB7" s="284"/>
      <c r="AC7" s="284"/>
      <c r="AD7" s="284"/>
      <c r="AE7" s="284"/>
      <c r="AF7" s="284"/>
      <c r="AG7" s="284"/>
      <c r="AH7" s="284"/>
      <c r="AI7" s="284"/>
      <c r="AJ7" s="284"/>
      <c r="AK7" s="284"/>
      <c r="AL7" s="284"/>
      <c r="AM7" s="285"/>
    </row>
    <row r="8" spans="2:40" ht="12.75" customHeight="1">
      <c r="B8" s="234" t="str">
        <f>IF('Filtered Data'!D1="L","County:","Type of Authority:")</f>
        <v>Type of Authority:</v>
      </c>
      <c r="C8" s="305"/>
      <c r="D8" s="305"/>
      <c r="E8" s="305"/>
      <c r="F8" s="305"/>
      <c r="G8" s="305"/>
      <c r="H8" s="305"/>
      <c r="I8" s="305"/>
      <c r="J8" s="3" t="str">
        <f>IF('Filtered Data'!D1="L",'Filtered Data'!I3,VLOOKUP('Filtered Data'!D1,'Filtered Data'!L1:O5,3,FALSE))</f>
        <v>Unitary</v>
      </c>
      <c r="K8" s="3"/>
      <c r="L8" s="3"/>
      <c r="M8" s="3"/>
      <c r="N8" s="3"/>
      <c r="O8" s="3"/>
      <c r="P8" s="3"/>
      <c r="Q8" s="3"/>
      <c r="R8" s="3"/>
      <c r="W8" s="283"/>
      <c r="X8" s="284"/>
      <c r="Y8" s="284"/>
      <c r="Z8" s="284"/>
      <c r="AA8" s="284"/>
      <c r="AB8" s="284"/>
      <c r="AC8" s="284"/>
      <c r="AD8" s="284"/>
      <c r="AE8" s="284"/>
      <c r="AF8" s="284"/>
      <c r="AG8" s="284"/>
      <c r="AH8" s="284"/>
      <c r="AI8" s="284"/>
      <c r="AJ8" s="284"/>
      <c r="AK8" s="284"/>
      <c r="AL8" s="284"/>
      <c r="AM8" s="285"/>
    </row>
    <row r="9" spans="2:40" ht="12.75" customHeight="1">
      <c r="B9" s="234" t="str">
        <f>IF('Filtered Data'!D1="L","Rural Classification:","Region:")</f>
        <v>Region:</v>
      </c>
      <c r="C9" s="305"/>
      <c r="D9" s="305"/>
      <c r="E9" s="305"/>
      <c r="F9" s="305"/>
      <c r="G9" s="305"/>
      <c r="H9" s="305"/>
      <c r="I9" s="305"/>
      <c r="J9" s="3" t="str">
        <f>IF('Filtered Data'!D1="L",'Filtered Data'!H3,'Filtered Data'!G3)</f>
        <v>North West</v>
      </c>
      <c r="K9" s="3"/>
      <c r="L9" s="3"/>
      <c r="M9" s="3"/>
      <c r="N9" s="3"/>
      <c r="O9" s="3"/>
      <c r="P9" s="3"/>
      <c r="Q9" s="3"/>
      <c r="R9" s="3"/>
      <c r="W9" s="283"/>
      <c r="X9" s="284"/>
      <c r="Y9" s="284"/>
      <c r="Z9" s="284"/>
      <c r="AA9" s="284"/>
      <c r="AB9" s="284"/>
      <c r="AC9" s="284"/>
      <c r="AD9" s="284"/>
      <c r="AE9" s="284"/>
      <c r="AF9" s="284"/>
      <c r="AG9" s="284"/>
      <c r="AH9" s="284"/>
      <c r="AI9" s="284"/>
      <c r="AJ9" s="284"/>
      <c r="AK9" s="284"/>
      <c r="AL9" s="284"/>
      <c r="AM9" s="285"/>
    </row>
    <row r="10" spans="2:40" ht="12.75" customHeight="1">
      <c r="B10" s="305" t="str">
        <f>IF('Filtered Data'!D1="L","",IF('Filtered Data'!D1="SC","Rural Classification:",IF('Filtered Data'!D1="UA","Rural Classification:","County:")))</f>
        <v>Rural Classification:</v>
      </c>
      <c r="C10" s="305"/>
      <c r="D10" s="305"/>
      <c r="E10" s="305"/>
      <c r="F10" s="305"/>
      <c r="G10" s="305"/>
      <c r="H10" s="305"/>
      <c r="I10" s="305"/>
      <c r="J10" s="234" t="str">
        <f>IF('Filtered Data'!D1="L","",IF('Filtered Data'!D1="MD",'Filtered Data'!I3,IF('Filtered Data'!D1="SD",'Filtered Data'!I3,'Filtered Data'!H3)))</f>
        <v>Urban with Significant Rural</v>
      </c>
      <c r="K10" s="234"/>
      <c r="L10" s="234"/>
      <c r="M10" s="234"/>
      <c r="N10" s="234"/>
      <c r="O10" s="234"/>
      <c r="P10" s="234"/>
      <c r="Q10" s="234"/>
      <c r="R10" s="234"/>
      <c r="W10" s="283"/>
      <c r="X10" s="284"/>
      <c r="Y10" s="284"/>
      <c r="Z10" s="284"/>
      <c r="AA10" s="284"/>
      <c r="AB10" s="284"/>
      <c r="AC10" s="284"/>
      <c r="AD10" s="284"/>
      <c r="AE10" s="284"/>
      <c r="AF10" s="284"/>
      <c r="AG10" s="284"/>
      <c r="AH10" s="284"/>
      <c r="AI10" s="284"/>
      <c r="AJ10" s="284"/>
      <c r="AK10" s="284"/>
      <c r="AL10" s="284"/>
      <c r="AM10" s="285"/>
    </row>
    <row r="11" spans="2:40" ht="12.75" customHeight="1">
      <c r="B11" s="305" t="str">
        <f>IF('Filtered Data'!D1="L","",IF('Filtered Data'!D1="SC","",IF('Filtered Data'!D1="UA","","Rural Classification:")))</f>
        <v/>
      </c>
      <c r="C11" s="305"/>
      <c r="D11" s="305"/>
      <c r="E11" s="305"/>
      <c r="F11" s="305"/>
      <c r="G11" s="305"/>
      <c r="H11" s="305"/>
      <c r="I11" s="305"/>
      <c r="J11" s="3" t="str">
        <f>IF('Filtered Data'!D1="MD",'Filtered Data'!H3,IF('Filtered Data'!D1="SD",'Filtered Data'!H3,""))</f>
        <v/>
      </c>
      <c r="K11" s="3"/>
      <c r="W11" s="289" t="s">
        <v>364</v>
      </c>
      <c r="X11" s="290"/>
      <c r="Y11" s="290"/>
      <c r="Z11" s="290"/>
      <c r="AA11" s="290"/>
      <c r="AB11" s="290"/>
      <c r="AC11" s="290"/>
      <c r="AD11" s="290"/>
      <c r="AE11" s="290"/>
      <c r="AF11" s="290"/>
      <c r="AG11" s="290"/>
      <c r="AH11" s="290"/>
      <c r="AI11" s="290"/>
      <c r="AJ11" s="290"/>
      <c r="AK11" s="290"/>
      <c r="AL11" s="290"/>
      <c r="AM11" s="291"/>
    </row>
    <row r="12" spans="2:40" ht="12.75" customHeight="1">
      <c r="W12" s="264" t="s">
        <v>914</v>
      </c>
      <c r="X12" s="265"/>
      <c r="Y12" s="265"/>
      <c r="Z12" s="265"/>
      <c r="AA12" s="265"/>
      <c r="AB12" s="265"/>
      <c r="AC12" s="265"/>
      <c r="AD12" s="265"/>
      <c r="AE12" s="265"/>
      <c r="AF12" s="265"/>
      <c r="AG12" s="265"/>
      <c r="AH12" s="265"/>
      <c r="AI12" s="265"/>
      <c r="AJ12" s="265"/>
      <c r="AK12" s="265"/>
      <c r="AL12" s="265"/>
      <c r="AM12" s="266"/>
    </row>
    <row r="13" spans="2:40" ht="12.75" customHeight="1">
      <c r="B13" s="19"/>
      <c r="C13" s="19"/>
      <c r="D13" s="19"/>
      <c r="E13" s="19"/>
      <c r="F13" s="19"/>
      <c r="G13" s="19"/>
      <c r="H13" s="19"/>
      <c r="I13" s="19"/>
      <c r="J13" s="3"/>
      <c r="K13" s="3"/>
      <c r="L13" s="3"/>
      <c r="M13" s="3"/>
      <c r="N13" s="3"/>
      <c r="O13" s="3"/>
      <c r="P13" s="3"/>
      <c r="Q13" s="3"/>
      <c r="R13" s="3"/>
      <c r="W13" s="306" t="s">
        <v>365</v>
      </c>
      <c r="X13" s="307"/>
      <c r="Y13" s="307"/>
      <c r="Z13" s="307"/>
      <c r="AA13" s="307"/>
      <c r="AB13" s="307"/>
      <c r="AC13" s="307"/>
      <c r="AD13" s="307"/>
      <c r="AE13" s="307"/>
      <c r="AF13" s="307"/>
      <c r="AG13" s="307"/>
      <c r="AH13" s="307"/>
      <c r="AI13" s="307"/>
      <c r="AJ13" s="307"/>
      <c r="AK13" s="307"/>
      <c r="AL13" s="307"/>
      <c r="AM13" s="308"/>
    </row>
    <row r="14" spans="2:40" ht="25.5" customHeight="1">
      <c r="B14" s="19"/>
      <c r="C14" s="19"/>
      <c r="D14" s="19"/>
      <c r="E14" s="19"/>
      <c r="F14" s="19"/>
      <c r="G14" s="19"/>
      <c r="H14" s="19"/>
      <c r="I14" s="19"/>
      <c r="J14" s="3"/>
      <c r="K14" s="3"/>
      <c r="L14" s="3"/>
      <c r="M14" s="3"/>
      <c r="N14" s="3"/>
      <c r="O14" s="3"/>
      <c r="P14" s="3"/>
      <c r="Q14" s="3"/>
      <c r="R14" s="3"/>
      <c r="W14" s="286" t="str">
        <f>HLOOKUP(W6,Data!4:6,3,FALSE)</f>
        <v>www.gov.uk</v>
      </c>
      <c r="X14" s="287"/>
      <c r="Y14" s="287"/>
      <c r="Z14" s="287"/>
      <c r="AA14" s="287"/>
      <c r="AB14" s="287"/>
      <c r="AC14" s="287"/>
      <c r="AD14" s="287"/>
      <c r="AE14" s="287"/>
      <c r="AF14" s="287"/>
      <c r="AG14" s="287"/>
      <c r="AH14" s="287"/>
      <c r="AI14" s="287"/>
      <c r="AJ14" s="287"/>
      <c r="AK14" s="287"/>
      <c r="AL14" s="287"/>
      <c r="AM14" s="288"/>
    </row>
    <row r="15" spans="2:40"/>
    <row r="16" spans="2:40">
      <c r="B16" s="294" t="str">
        <f>W6&amp;" - "&amp;W12</f>
        <v>Council tax collected by 31 March as a % of amount collectable - 2023-24</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96"/>
    </row>
    <row r="17" spans="2:42">
      <c r="B17" s="297"/>
      <c r="C17" s="298"/>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9"/>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2" t="s">
        <v>340</v>
      </c>
      <c r="F32" s="303"/>
      <c r="G32" s="303"/>
      <c r="H32" s="303"/>
      <c r="I32" s="303"/>
      <c r="J32" s="303"/>
      <c r="K32" s="276">
        <f>IF('Filtered Data'!$H$8="..",'Filtered Data'!O10,'Filtered Data'!O10/100)</f>
        <v>0.97340000000000004</v>
      </c>
      <c r="L32" s="276"/>
      <c r="M32" s="276"/>
      <c r="N32" s="275" t="s">
        <v>351</v>
      </c>
      <c r="O32" s="275"/>
      <c r="P32" s="275"/>
      <c r="Q32" s="275"/>
      <c r="R32" s="275"/>
      <c r="S32" s="275"/>
      <c r="T32" s="276">
        <f>IF('Filtered Data'!$H$8="..",'Filtered Data'!P10,'Filtered Data'!P10/100)</f>
        <v>0.96319999999999995</v>
      </c>
      <c r="U32" s="276"/>
      <c r="V32" s="276"/>
      <c r="W32" s="276"/>
      <c r="X32" s="300" t="s">
        <v>352</v>
      </c>
      <c r="Y32" s="300"/>
      <c r="Z32" s="300"/>
      <c r="AA32" s="300"/>
      <c r="AB32" s="300"/>
      <c r="AC32" s="276">
        <f>IF('Filtered Data'!$H$8="..",'Filtered Data'!Q10,'Filtered Data'!Q10/100)</f>
        <v>0.94519999999999993</v>
      </c>
      <c r="AD32" s="276"/>
      <c r="AE32" s="276"/>
      <c r="AF32" s="267" t="s">
        <v>341</v>
      </c>
      <c r="AG32" s="267"/>
      <c r="AH32" s="267"/>
      <c r="AI32" s="267"/>
      <c r="AJ32" s="267"/>
      <c r="AK32" s="267"/>
      <c r="AL32" s="267"/>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93">
        <f>IF(ISERROR(IF('Filtered Data'!$H$8="%.",(VLOOKUP(J5,'Filtered Data'!C:H,4,FALSE))/100,(VLOOKUP(J5,'Filtered Data'!C:H,4,FALSE)))),"",(IF('Filtered Data'!$H$8="%.",(VLOOKUP(J5,'Filtered Data'!C:H,4,FALSE))/100,(VLOOKUP(J5,'Filtered Data'!C:H,4,FALSE)))))</f>
        <v>0.97939999999999994</v>
      </c>
      <c r="M35" s="293"/>
      <c r="N35" s="293"/>
      <c r="O35" s="293"/>
      <c r="P35" s="92"/>
      <c r="Q35" s="293" t="s">
        <v>353</v>
      </c>
      <c r="R35" s="293"/>
      <c r="S35" s="293"/>
      <c r="T35" s="293"/>
      <c r="U35" s="293"/>
      <c r="V35" s="293"/>
      <c r="W35" s="293"/>
      <c r="AP35" s="56"/>
    </row>
    <row r="36" spans="2:16384" ht="12.75" customHeight="1">
      <c r="B36" s="292" t="str">
        <f>'Filtered Data'!R8&amp;" Quartile"</f>
        <v>Top Quartile</v>
      </c>
      <c r="C36" s="292"/>
      <c r="D36" s="292"/>
      <c r="E36" s="292"/>
      <c r="F36" s="292"/>
      <c r="G36" s="292"/>
      <c r="H36" s="292"/>
      <c r="I36" s="292"/>
      <c r="J36" s="292"/>
      <c r="K36" s="292"/>
      <c r="L36" s="292"/>
      <c r="M36" s="292"/>
      <c r="N36" s="292"/>
      <c r="O36" s="292"/>
      <c r="P36" s="292"/>
      <c r="Q36" s="292"/>
      <c r="R36" s="292"/>
      <c r="S36" s="292"/>
      <c r="T36" s="292"/>
      <c r="U36" s="292"/>
      <c r="V36" s="292"/>
      <c r="W36" s="292"/>
      <c r="Z36" s="17" t="s">
        <v>357</v>
      </c>
      <c r="AB36" s="279" t="s">
        <v>359</v>
      </c>
      <c r="AC36" s="279"/>
      <c r="AD36" s="279"/>
      <c r="AE36" s="279"/>
      <c r="AF36" s="279"/>
      <c r="AG36" s="279"/>
      <c r="AH36" s="279"/>
      <c r="AI36" s="279"/>
      <c r="AJ36" s="279"/>
      <c r="AK36" s="279"/>
      <c r="AL36" s="279"/>
      <c r="AM36" s="110"/>
      <c r="AP36" s="56"/>
    </row>
    <row r="37" spans="2:16384" ht="12.75" customHeight="1">
      <c r="B37" s="93" t="str">
        <f>VLOOKUP('Filtered Data'!D1,'Filtered Data'!L1:O6,2,FALSE)</f>
        <v>Unitaries</v>
      </c>
      <c r="C37" s="93"/>
      <c r="D37" s="93"/>
      <c r="E37" s="93"/>
      <c r="F37" s="93"/>
      <c r="G37" s="93"/>
      <c r="H37" s="93"/>
      <c r="I37" s="93"/>
      <c r="J37" s="240" t="s">
        <v>798</v>
      </c>
      <c r="K37" s="94" t="str">
        <f>IF(Q37="","",IF('Filtered Data'!I8="D",IF($L$35&gt;=L37,"J","L"),IF('Filtered Data'!I8="A",IF($L$35&lt;=L37,"J","L"))))</f>
        <v>J</v>
      </c>
      <c r="L37" s="269">
        <f>'Filtered Data'!M9</f>
        <v>0.95765322580645174</v>
      </c>
      <c r="M37" s="269"/>
      <c r="N37" s="269"/>
      <c r="O37" s="269"/>
      <c r="P37" s="95"/>
      <c r="Q37" s="260">
        <f>VLOOKUP(J5,'Filtered Data'!C:I,7,FALSE)</f>
        <v>5</v>
      </c>
      <c r="R37" s="260"/>
      <c r="S37" s="96"/>
      <c r="T37" s="97" t="s">
        <v>354</v>
      </c>
      <c r="U37" s="98"/>
      <c r="V37" s="260">
        <f>COUNT('Filtered Data'!I11:I333)</f>
        <v>62</v>
      </c>
      <c r="W37" s="260"/>
      <c r="AB37" s="279"/>
      <c r="AC37" s="279"/>
      <c r="AD37" s="279"/>
      <c r="AE37" s="279"/>
      <c r="AF37" s="279"/>
      <c r="AG37" s="279"/>
      <c r="AH37" s="279"/>
      <c r="AI37" s="279"/>
      <c r="AJ37" s="279"/>
      <c r="AK37" s="279"/>
      <c r="AL37" s="279"/>
      <c r="AM37" s="110"/>
      <c r="AP37" s="56"/>
    </row>
    <row r="38" spans="2:16384">
      <c r="B38" s="93" t="str">
        <f>IF('Filtered Data'!D1="L","Family",IF('Filtered Data'!D1="SD",VLOOKUP(J5,classifications!C:J,6,FALSE),"Rural"))</f>
        <v>Rural</v>
      </c>
      <c r="C38" s="93"/>
      <c r="D38" s="93"/>
      <c r="E38" s="93"/>
      <c r="F38" s="93"/>
      <c r="G38" s="93"/>
      <c r="H38" s="93"/>
      <c r="I38" s="93"/>
      <c r="J38" s="241"/>
      <c r="K38" s="94" t="str">
        <f>IF(Q38="","",IF('Filtered Data'!I8="D",IF($L$35&gt;=L38,"J","L"),IF('Filtered Data'!I8="A",IF($L$35&lt;=L38,"J","L"))))</f>
        <v>J</v>
      </c>
      <c r="L38" s="269">
        <f>IF('Filtered Data'!D1="L",'Filtered Data'!AG9,'Filtered Data'!Y9)</f>
        <v>0.96816666666666662</v>
      </c>
      <c r="M38" s="269"/>
      <c r="N38" s="269"/>
      <c r="O38" s="269"/>
      <c r="P38" s="95"/>
      <c r="Q38" s="278">
        <f>IF(ISERROR(IF('Filtered Data'!D1="L",VLOOKUP(J5,'Filtered Data'!AF11:AH25,3,FALSE),VLOOKUP(J5,'Filtered Data'!$L$11:$Z$333,15,FALSE))),"",(IF('Filtered Data'!D1="L",VLOOKUP(J5,'Filtered Data'!AF11:AH25,3,FALSE),VLOOKUP(J5,'Filtered Data'!$L$11:$Z$333,15,FALSE))))</f>
        <v>3</v>
      </c>
      <c r="R38" s="278"/>
      <c r="S38" s="268" t="s">
        <v>354</v>
      </c>
      <c r="T38" s="269"/>
      <c r="U38" s="269"/>
      <c r="V38" s="260">
        <f>IF('Filtered Data'!D1="L",16,COUNT('Filtered Data'!Z:Z))</f>
        <v>24</v>
      </c>
      <c r="W38" s="260"/>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241"/>
      <c r="K39" s="94" t="str">
        <f>IF(Q39="","",IF('Filtered Data'!I8="D",IF($L$35&gt;=L39,"J","L"),IF('Filtered Data'!I8="A",IF($L$35&lt;=L39,"J","L"))))</f>
        <v>J</v>
      </c>
      <c r="L39" s="269">
        <f>IF('Filtered Data'!D1="L","",IF('Filtered Data'!D1="SD",'Filtered Data'!AJ9,'Filtered Data'!AQ9))</f>
        <v>0.95372500000000004</v>
      </c>
      <c r="M39" s="269"/>
      <c r="N39" s="269"/>
      <c r="O39" s="269"/>
      <c r="P39" s="95"/>
      <c r="Q39" s="260">
        <f>IF(ISERROR(IF('Filtered Data'!D1="L","",IF('Filtered Data'!D1="SD",VLOOKUP(J5,'Filtered Data'!L:AK,26,FALSE),(VLOOKUP(J5,'Filtered Data'!L:AR,33,FALSE))))),"",(IF('Filtered Data'!D1="L","",IF('Filtered Data'!D1="SD",VLOOKUP(J5,'Filtered Data'!L:AK,26,FALSE),(VLOOKUP(J5,'Filtered Data'!L:AR,33,FALSE))))))</f>
        <v>1</v>
      </c>
      <c r="R39" s="260"/>
      <c r="S39" s="96"/>
      <c r="T39" s="98" t="str">
        <f>IF(B39="","","out of")</f>
        <v>out of</v>
      </c>
      <c r="U39" s="98"/>
      <c r="V39" s="260">
        <f>IF('Filtered Data'!D1="L","",IF('Filtered Data'!D1="SD",COUNT('Filtered Data'!AK11:AK333),(COUNT('Filtered Data'!AQ11:AQ333))))</f>
        <v>8</v>
      </c>
      <c r="W39" s="260"/>
      <c r="Z39" s="11" t="s">
        <v>358</v>
      </c>
      <c r="AB39" s="279" t="s">
        <v>360</v>
      </c>
      <c r="AC39" s="279"/>
      <c r="AD39" s="279"/>
      <c r="AE39" s="279"/>
      <c r="AF39" s="279"/>
      <c r="AG39" s="279"/>
      <c r="AH39" s="279"/>
      <c r="AI39" s="279"/>
      <c r="AJ39" s="279"/>
      <c r="AK39" s="279"/>
      <c r="AL39" s="279"/>
      <c r="AM39" s="279"/>
      <c r="AP39" s="56"/>
    </row>
    <row r="40" spans="2:16384" ht="12.75" customHeight="1">
      <c r="B40" s="106"/>
      <c r="C40" s="106"/>
      <c r="D40" s="106"/>
      <c r="E40" s="106"/>
      <c r="F40" s="106"/>
      <c r="G40" s="106"/>
      <c r="H40" s="106"/>
      <c r="I40" s="106"/>
      <c r="J40" s="105"/>
      <c r="K40" s="107"/>
      <c r="L40" s="270"/>
      <c r="M40" s="270"/>
      <c r="N40" s="270"/>
      <c r="O40" s="270"/>
      <c r="P40" s="108"/>
      <c r="Q40" s="271"/>
      <c r="R40" s="271"/>
      <c r="S40" s="270"/>
      <c r="T40" s="274"/>
      <c r="U40" s="274"/>
      <c r="V40" s="271"/>
      <c r="W40" s="271"/>
      <c r="AB40" s="279"/>
      <c r="AC40" s="279"/>
      <c r="AD40" s="279"/>
      <c r="AE40" s="279"/>
      <c r="AF40" s="279"/>
      <c r="AG40" s="279"/>
      <c r="AH40" s="279"/>
      <c r="AI40" s="279"/>
      <c r="AJ40" s="279"/>
      <c r="AK40" s="279"/>
      <c r="AL40" s="279"/>
      <c r="AM40" s="279"/>
      <c r="AP40" s="56"/>
    </row>
    <row r="41" spans="2:16384">
      <c r="B41" s="225"/>
      <c r="C41" s="225"/>
      <c r="D41" s="225"/>
      <c r="E41" s="225"/>
      <c r="F41" s="225"/>
      <c r="G41" s="225"/>
      <c r="H41" s="225"/>
      <c r="I41" s="225"/>
      <c r="J41" s="105"/>
      <c r="K41" s="226" t="str">
        <f>IF(B41="","",IF('Filtered Data'!D1="UA","",(IF($L$35&gt;=L41,"J","L"))))</f>
        <v/>
      </c>
      <c r="L41" s="261"/>
      <c r="M41" s="261"/>
      <c r="N41" s="261"/>
      <c r="O41" s="261"/>
      <c r="P41" s="227"/>
      <c r="Q41" s="272"/>
      <c r="R41" s="272"/>
      <c r="S41" s="277"/>
      <c r="T41" s="277"/>
      <c r="U41" s="277"/>
      <c r="V41" s="272"/>
      <c r="W41" s="272"/>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56" t="s">
        <v>356</v>
      </c>
      <c r="C43" s="257"/>
      <c r="D43" s="257"/>
      <c r="E43" s="257"/>
      <c r="F43" s="257"/>
      <c r="G43" s="257"/>
      <c r="H43" s="257"/>
      <c r="I43" s="257"/>
      <c r="J43" s="257"/>
      <c r="K43" s="257"/>
      <c r="L43" s="257"/>
      <c r="M43" s="257"/>
      <c r="N43" s="257"/>
      <c r="O43" s="252" t="str">
        <f>W6&amp;" - "&amp;W12</f>
        <v>Council tax collected by 31 March as a % of amount collectable - 2023-24</v>
      </c>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3"/>
      <c r="AP43" s="56"/>
    </row>
    <row r="44" spans="2:16384">
      <c r="B44" s="258"/>
      <c r="C44" s="259"/>
      <c r="D44" s="259"/>
      <c r="E44" s="259"/>
      <c r="F44" s="259"/>
      <c r="G44" s="259"/>
      <c r="H44" s="259"/>
      <c r="I44" s="259"/>
      <c r="J44" s="259"/>
      <c r="K44" s="259"/>
      <c r="L44" s="259"/>
      <c r="M44" s="259"/>
      <c r="N44" s="259"/>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4"/>
      <c r="AM44" s="255"/>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62">
        <f>IF('Filtered Data'!$H$8="..",L35,L35*100)</f>
        <v>97.94</v>
      </c>
      <c r="F48" s="262"/>
      <c r="G48" s="262"/>
      <c r="H48" s="262"/>
      <c r="K48" s="236">
        <f>IF('Filtered Data'!$H$8="..",K$32,K$32*100)</f>
        <v>97.34</v>
      </c>
      <c r="L48" s="236"/>
      <c r="M48" s="236">
        <f>IF('Filtered Data'!$H$8="..",T$32,T$32*100)</f>
        <v>96.32</v>
      </c>
      <c r="N48" s="236"/>
      <c r="O48" s="236">
        <f>IF('Filtered Data'!$H$8="..",AC$32,AC$32*100)</f>
        <v>94.52</v>
      </c>
      <c r="P48" s="236"/>
      <c r="AM48" s="6"/>
      <c r="AP48" s="56"/>
    </row>
    <row r="49" spans="2:42">
      <c r="B49" s="5"/>
      <c r="D49" t="str">
        <f>B37</f>
        <v>Unitaries</v>
      </c>
      <c r="E49" s="262">
        <f>IF('Filtered Data'!$H$8="..",L37,L37*100)</f>
        <v>95.765322580645176</v>
      </c>
      <c r="F49" s="262"/>
      <c r="G49" s="262"/>
      <c r="H49" s="262"/>
      <c r="K49" s="236">
        <f>IF('Filtered Data'!$H$8="..",K$32,K$32*100)</f>
        <v>97.34</v>
      </c>
      <c r="L49" s="236"/>
      <c r="M49" s="236">
        <f>IF('Filtered Data'!$H$8="..",T$32,T$32*100)</f>
        <v>96.32</v>
      </c>
      <c r="N49" s="236"/>
      <c r="O49" s="236">
        <f>IF('Filtered Data'!$H$8="..",AC$32,AC$32*100)</f>
        <v>94.52</v>
      </c>
      <c r="P49" s="236"/>
      <c r="AM49" s="6"/>
      <c r="AP49" s="56"/>
    </row>
    <row r="50" spans="2:42">
      <c r="B50" s="5"/>
      <c r="D50" s="64" t="str">
        <f>B39</f>
        <v>Regional</v>
      </c>
      <c r="E50" s="262">
        <f>IF('Filtered Data'!$H$8="..",L39,L39*100)</f>
        <v>95.372500000000002</v>
      </c>
      <c r="F50" s="262"/>
      <c r="G50" s="262"/>
      <c r="H50" s="262"/>
      <c r="K50" s="236">
        <f>IF('Filtered Data'!$H$8="..",K$32,K$32*100)</f>
        <v>97.34</v>
      </c>
      <c r="L50" s="236"/>
      <c r="M50" s="236">
        <f>IF('Filtered Data'!$H$8="..",T$32,T$32*100)</f>
        <v>96.32</v>
      </c>
      <c r="N50" s="236"/>
      <c r="O50" s="236">
        <f>IF('Filtered Data'!$H$8="..",AC$32,AC$32*100)</f>
        <v>94.52</v>
      </c>
      <c r="P50" s="236"/>
      <c r="AM50" s="6"/>
      <c r="AP50" s="56"/>
    </row>
    <row r="51" spans="2:42">
      <c r="B51" s="5"/>
      <c r="D51" s="228" t="str">
        <f>B38</f>
        <v>Rural</v>
      </c>
      <c r="E51" s="262">
        <f>IF('Filtered Data'!$H$8="..",L38,L38*100)</f>
        <v>96.816666666666663</v>
      </c>
      <c r="F51" s="262"/>
      <c r="G51" s="262"/>
      <c r="H51" s="262"/>
      <c r="K51" s="236">
        <f>IF('Filtered Data'!$H$8="..",K$32,K$32*100)</f>
        <v>97.34</v>
      </c>
      <c r="L51" s="236"/>
      <c r="M51" s="236">
        <f>IF('Filtered Data'!$H$8="..",T$32,T$32*100)</f>
        <v>96.32</v>
      </c>
      <c r="N51" s="236"/>
      <c r="O51" s="236">
        <f>IF('Filtered Data'!$H$8="..",AC$32,AC$32*100)</f>
        <v>94.52</v>
      </c>
      <c r="P51" s="236"/>
      <c r="AM51" s="6"/>
      <c r="AP51" s="56"/>
    </row>
    <row r="52" spans="2:42">
      <c r="B52" s="5"/>
      <c r="E52" s="262"/>
      <c r="F52" s="262"/>
      <c r="G52" s="262"/>
      <c r="H52" s="262"/>
      <c r="K52" s="236"/>
      <c r="L52" s="236"/>
      <c r="M52" s="236"/>
      <c r="N52" s="236"/>
      <c r="O52" s="236"/>
      <c r="P52" s="236"/>
      <c r="AM52" s="6"/>
      <c r="AP52" s="56"/>
    </row>
    <row r="53" spans="2:42">
      <c r="B53" s="5"/>
      <c r="E53" s="263"/>
      <c r="F53" s="263"/>
      <c r="G53" s="263"/>
      <c r="H53" s="263"/>
      <c r="K53" s="236"/>
      <c r="L53" s="236"/>
      <c r="M53" s="236"/>
      <c r="N53" s="236"/>
      <c r="O53" s="236"/>
      <c r="P53" s="236"/>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38" t="str">
        <f>B3</f>
        <v>Planning Application Turnaround</v>
      </c>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P59" s="56"/>
    </row>
    <row r="60" spans="2:42">
      <c r="AP60" s="56"/>
    </row>
    <row r="61" spans="2:42" ht="12" customHeight="1">
      <c r="B61" s="1" t="str">
        <f>W6&amp;" - "&amp;W12</f>
        <v>Council tax collected by 31 March as a % of amount collectable - 2023-24</v>
      </c>
      <c r="AP61" s="56"/>
    </row>
    <row r="62" spans="2:42" ht="12" customHeight="1">
      <c r="AP62" s="56"/>
    </row>
    <row r="63" spans="2:42" ht="12" customHeight="1">
      <c r="B63" s="1" t="s">
        <v>362</v>
      </c>
      <c r="AP63" s="56"/>
    </row>
    <row r="64" spans="2:42" ht="12" customHeight="1">
      <c r="AP64" s="56"/>
    </row>
    <row r="65" spans="2:42" ht="12" customHeight="1">
      <c r="B65" s="247" t="s">
        <v>353</v>
      </c>
      <c r="C65" s="247"/>
      <c r="D65" s="247"/>
      <c r="E65" s="235" t="s">
        <v>333</v>
      </c>
      <c r="F65" s="235"/>
      <c r="G65" s="235"/>
      <c r="H65" s="235"/>
      <c r="I65" s="235"/>
      <c r="J65" s="235"/>
      <c r="K65" s="235"/>
      <c r="L65" s="235"/>
      <c r="M65" s="235"/>
      <c r="N65" s="235"/>
      <c r="O65" s="235"/>
      <c r="P65" s="235"/>
      <c r="Q65" s="235"/>
      <c r="R65" s="235"/>
      <c r="S65" s="235"/>
      <c r="T65" s="235"/>
      <c r="U65" s="247" t="s">
        <v>363</v>
      </c>
      <c r="V65" s="247"/>
      <c r="W65" s="247"/>
      <c r="X65" s="247"/>
      <c r="Y65" s="1"/>
      <c r="Z65" s="1"/>
      <c r="AA65" s="1"/>
      <c r="AB65" s="1"/>
      <c r="AC65" s="4"/>
      <c r="AD65" s="1"/>
      <c r="AE65" s="1"/>
      <c r="AF65" s="1"/>
      <c r="AG65" s="1"/>
      <c r="AI65" s="1"/>
      <c r="AJ65" s="1"/>
      <c r="AK65" s="1"/>
      <c r="AL65" s="1"/>
      <c r="AP65" s="56"/>
    </row>
    <row r="66" spans="2:42" ht="12" customHeight="1">
      <c r="B66" s="244">
        <v>1</v>
      </c>
      <c r="C66" s="236"/>
      <c r="D66" s="236"/>
      <c r="E66" s="234" t="str">
        <f>VLOOKUP(B66,'Filtered Data'!K:L,2,FALSE)</f>
        <v>Wokingham</v>
      </c>
      <c r="F66" s="234"/>
      <c r="G66" s="234"/>
      <c r="H66" s="234"/>
      <c r="I66" s="234"/>
      <c r="J66" s="234"/>
      <c r="K66" s="234"/>
      <c r="L66" s="234"/>
      <c r="M66" s="234"/>
      <c r="N66" s="234"/>
      <c r="O66" s="234"/>
      <c r="P66" s="234"/>
      <c r="Q66" s="234"/>
      <c r="R66" s="234"/>
      <c r="S66" s="234"/>
      <c r="T66" s="234"/>
      <c r="U66" s="239">
        <f>IF('Filtered Data'!$H$8="%.",(VLOOKUP(B66,'Filtered Data'!K:M,3,FALSE))/100,VLOOKUP(B66,'Filtered Data'!K:M,3,FALSE))</f>
        <v>0.99260000000000004</v>
      </c>
      <c r="V66" s="239"/>
      <c r="W66" s="239"/>
      <c r="X66" s="239"/>
      <c r="Y66" s="132" t="str">
        <f>IF((VLOOKUP(E66,classifications!C:K,9,FALSE))="Sparse","S","")</f>
        <v/>
      </c>
      <c r="Z66" s="132"/>
      <c r="AA66" s="132"/>
      <c r="AB66" s="132"/>
      <c r="AC66" s="132"/>
      <c r="AD66" s="251"/>
      <c r="AE66" s="251"/>
      <c r="AF66" s="251"/>
      <c r="AG66" s="251"/>
      <c r="AH66" s="251"/>
      <c r="AI66" s="251"/>
      <c r="AJ66" s="251"/>
      <c r="AK66" s="251"/>
      <c r="AL66" s="251"/>
      <c r="AP66" s="56"/>
    </row>
    <row r="67" spans="2:42" ht="12" customHeight="1">
      <c r="B67" s="244">
        <v>2</v>
      </c>
      <c r="C67" s="236"/>
      <c r="D67" s="236"/>
      <c r="E67" s="234" t="str">
        <f>VLOOKUP(B67,'Filtered Data'!K:L,2,FALSE)</f>
        <v>Buckinghamshire</v>
      </c>
      <c r="F67" s="234"/>
      <c r="G67" s="234"/>
      <c r="H67" s="234"/>
      <c r="I67" s="234"/>
      <c r="J67" s="234"/>
      <c r="K67" s="234"/>
      <c r="L67" s="234"/>
      <c r="M67" s="234"/>
      <c r="N67" s="234"/>
      <c r="O67" s="234"/>
      <c r="P67" s="234"/>
      <c r="Q67" s="234"/>
      <c r="R67" s="234"/>
      <c r="S67" s="234"/>
      <c r="T67" s="234"/>
      <c r="U67" s="239">
        <f>IF('Filtered Data'!$H$8="%.",(VLOOKUP(B67,'Filtered Data'!K:M,3,FALSE))/100,VLOOKUP(B67,'Filtered Data'!K:M,3,FALSE))</f>
        <v>0.98459999999999992</v>
      </c>
      <c r="V67" s="239"/>
      <c r="W67" s="239"/>
      <c r="X67" s="239"/>
      <c r="Y67" s="132" t="str">
        <f>IF((VLOOKUP(E67,classifications!C:K,9,FALSE))="Sparse","S","")</f>
        <v/>
      </c>
      <c r="Z67" s="132"/>
      <c r="AA67" s="132"/>
      <c r="AB67" s="132"/>
      <c r="AC67" s="132"/>
      <c r="AD67" s="251"/>
      <c r="AE67" s="251"/>
      <c r="AF67" s="251"/>
      <c r="AG67" s="251"/>
      <c r="AH67" s="251"/>
      <c r="AI67" s="251"/>
      <c r="AJ67" s="251"/>
      <c r="AK67" s="251"/>
      <c r="AL67" s="251"/>
      <c r="AP67" s="56"/>
    </row>
    <row r="68" spans="2:42" ht="12" customHeight="1">
      <c r="B68" s="244">
        <v>3</v>
      </c>
      <c r="C68" s="236"/>
      <c r="D68" s="236"/>
      <c r="E68" s="234" t="str">
        <f>VLOOKUP(B68,'Filtered Data'!K:L,2,FALSE)</f>
        <v>Thurrock</v>
      </c>
      <c r="F68" s="234"/>
      <c r="G68" s="234"/>
      <c r="H68" s="234"/>
      <c r="I68" s="234"/>
      <c r="J68" s="234"/>
      <c r="K68" s="234"/>
      <c r="L68" s="234"/>
      <c r="M68" s="234"/>
      <c r="N68" s="234"/>
      <c r="O68" s="234"/>
      <c r="P68" s="234"/>
      <c r="Q68" s="234"/>
      <c r="R68" s="234"/>
      <c r="S68" s="234"/>
      <c r="T68" s="234"/>
      <c r="U68" s="239">
        <f>IF('Filtered Data'!$H$8="%.",(VLOOKUP(B68,'Filtered Data'!K:M,3,FALSE))/100,VLOOKUP(B68,'Filtered Data'!K:M,3,FALSE))</f>
        <v>0.98239999999999994</v>
      </c>
      <c r="V68" s="239"/>
      <c r="W68" s="239"/>
      <c r="X68" s="239"/>
      <c r="Y68" s="132" t="str">
        <f>IF((VLOOKUP(E68,classifications!C:K,9,FALSE))="Sparse","S","")</f>
        <v/>
      </c>
      <c r="Z68" s="132"/>
      <c r="AA68" s="132"/>
      <c r="AB68" s="132"/>
      <c r="AC68" s="132"/>
      <c r="AD68" s="251"/>
      <c r="AE68" s="251"/>
      <c r="AF68" s="251"/>
      <c r="AG68" s="251"/>
      <c r="AH68" s="251"/>
      <c r="AI68" s="251"/>
      <c r="AJ68" s="251"/>
      <c r="AK68" s="251"/>
      <c r="AL68" s="251"/>
      <c r="AP68" s="56"/>
    </row>
    <row r="69" spans="2:42" ht="12" customHeight="1">
      <c r="B69" s="244">
        <v>4</v>
      </c>
      <c r="C69" s="236"/>
      <c r="D69" s="236"/>
      <c r="E69" s="234" t="str">
        <f>VLOOKUP(B69,'Filtered Data'!K:L,2,FALSE)</f>
        <v>North Somerset</v>
      </c>
      <c r="F69" s="234"/>
      <c r="G69" s="234"/>
      <c r="H69" s="234"/>
      <c r="I69" s="234"/>
      <c r="J69" s="234"/>
      <c r="K69" s="234"/>
      <c r="L69" s="234"/>
      <c r="M69" s="234"/>
      <c r="N69" s="234"/>
      <c r="O69" s="234"/>
      <c r="P69" s="234"/>
      <c r="Q69" s="234"/>
      <c r="R69" s="234"/>
      <c r="S69" s="234"/>
      <c r="T69" s="234"/>
      <c r="U69" s="239">
        <f>IF('Filtered Data'!$H$8="%.",(VLOOKUP(B69,'Filtered Data'!K:M,3,FALSE))/100,VLOOKUP(B69,'Filtered Data'!K:M,3,FALSE))</f>
        <v>0.9798</v>
      </c>
      <c r="V69" s="239"/>
      <c r="W69" s="239"/>
      <c r="X69" s="239"/>
      <c r="Y69" s="132" t="str">
        <f>IF((VLOOKUP(E69,classifications!C:K,9,FALSE))="Sparse","S","")</f>
        <v>S</v>
      </c>
      <c r="Z69" s="132"/>
      <c r="AA69" s="132"/>
      <c r="AB69" s="132"/>
      <c r="AC69" s="132"/>
      <c r="AD69" s="251"/>
      <c r="AE69" s="251"/>
      <c r="AF69" s="251"/>
      <c r="AG69" s="251"/>
      <c r="AH69" s="251"/>
      <c r="AI69" s="251"/>
      <c r="AJ69" s="251"/>
      <c r="AK69" s="251"/>
      <c r="AL69" s="251"/>
      <c r="AP69" s="56"/>
    </row>
    <row r="70" spans="2:42" ht="12" customHeight="1">
      <c r="B70" s="244">
        <v>5</v>
      </c>
      <c r="C70" s="236"/>
      <c r="D70" s="236"/>
      <c r="E70" s="234" t="str">
        <f>VLOOKUP(B70,'Filtered Data'!K:L,2,FALSE)</f>
        <v>Cheshire East</v>
      </c>
      <c r="F70" s="234"/>
      <c r="G70" s="234"/>
      <c r="H70" s="234"/>
      <c r="I70" s="234"/>
      <c r="J70" s="234"/>
      <c r="K70" s="234"/>
      <c r="L70" s="234"/>
      <c r="M70" s="234"/>
      <c r="N70" s="234"/>
      <c r="O70" s="234"/>
      <c r="P70" s="234"/>
      <c r="Q70" s="234"/>
      <c r="R70" s="234"/>
      <c r="S70" s="234"/>
      <c r="T70" s="234"/>
      <c r="U70" s="239">
        <f>IF('Filtered Data'!$H$8="%.",(VLOOKUP(B70,'Filtered Data'!K:M,3,FALSE))/100,VLOOKUP(B70,'Filtered Data'!K:M,3,FALSE))</f>
        <v>0.97939999999999994</v>
      </c>
      <c r="V70" s="239"/>
      <c r="W70" s="239"/>
      <c r="X70" s="239"/>
      <c r="Y70" s="132" t="str">
        <f>IF((VLOOKUP(E70,classifications!C:K,9,FALSE))="Sparse","S","")</f>
        <v>S</v>
      </c>
      <c r="Z70" s="132"/>
      <c r="AA70" s="132"/>
      <c r="AB70" s="132"/>
      <c r="AC70" s="132"/>
      <c r="AD70" s="251"/>
      <c r="AE70" s="251"/>
      <c r="AF70" s="251"/>
      <c r="AG70" s="251"/>
      <c r="AH70" s="251"/>
      <c r="AI70" s="251"/>
      <c r="AJ70" s="251"/>
      <c r="AK70" s="251"/>
      <c r="AL70" s="251"/>
      <c r="AP70" s="56"/>
    </row>
    <row r="71" spans="2:42" ht="12" customHeight="1">
      <c r="B71" s="244">
        <v>6</v>
      </c>
      <c r="C71" s="236"/>
      <c r="D71" s="236"/>
      <c r="E71" s="234" t="str">
        <f>VLOOKUP(B71,'Filtered Data'!K:L,2,FALSE)</f>
        <v>Rutland</v>
      </c>
      <c r="F71" s="234"/>
      <c r="G71" s="234"/>
      <c r="H71" s="234"/>
      <c r="I71" s="234"/>
      <c r="J71" s="234"/>
      <c r="K71" s="234"/>
      <c r="L71" s="234"/>
      <c r="M71" s="234"/>
      <c r="N71" s="234"/>
      <c r="O71" s="234"/>
      <c r="P71" s="234"/>
      <c r="Q71" s="234"/>
      <c r="R71" s="234"/>
      <c r="S71" s="234"/>
      <c r="T71" s="234"/>
      <c r="U71" s="239">
        <f>IF('Filtered Data'!$H$8="%.",(VLOOKUP(B71,'Filtered Data'!K:M,3,FALSE))/100,VLOOKUP(B71,'Filtered Data'!K:M,3,FALSE))</f>
        <v>0.97939999999999994</v>
      </c>
      <c r="V71" s="239"/>
      <c r="W71" s="239"/>
      <c r="X71" s="239"/>
      <c r="Y71" s="132" t="str">
        <f>IF((VLOOKUP(E71,classifications!C:K,9,FALSE))="Sparse","S","")</f>
        <v>S</v>
      </c>
      <c r="Z71" s="132"/>
      <c r="AA71" s="132"/>
      <c r="AB71" s="132"/>
      <c r="AC71" s="132"/>
      <c r="AD71" s="251"/>
      <c r="AE71" s="251"/>
      <c r="AF71" s="251"/>
      <c r="AG71" s="251"/>
      <c r="AH71" s="251"/>
      <c r="AI71" s="251"/>
      <c r="AJ71" s="251"/>
      <c r="AK71" s="251"/>
      <c r="AL71" s="251"/>
      <c r="AP71" s="56"/>
    </row>
    <row r="72" spans="2:42" ht="12" customHeight="1">
      <c r="B72" s="244">
        <v>7</v>
      </c>
      <c r="C72" s="236"/>
      <c r="D72" s="236"/>
      <c r="E72" s="234" t="str">
        <f>VLOOKUP(B72,'Filtered Data'!K:L,2,FALSE)</f>
        <v>North Yorkshire</v>
      </c>
      <c r="F72" s="234"/>
      <c r="G72" s="234"/>
      <c r="H72" s="234"/>
      <c r="I72" s="234"/>
      <c r="J72" s="234"/>
      <c r="K72" s="234"/>
      <c r="L72" s="234"/>
      <c r="M72" s="234"/>
      <c r="N72" s="234"/>
      <c r="O72" s="234"/>
      <c r="P72" s="234"/>
      <c r="Q72" s="234"/>
      <c r="R72" s="234"/>
      <c r="S72" s="234"/>
      <c r="T72" s="234"/>
      <c r="U72" s="239">
        <f>IF('Filtered Data'!$H$8="%.",(VLOOKUP(B72,'Filtered Data'!K:M,3,FALSE))/100,VLOOKUP(B72,'Filtered Data'!K:M,3,FALSE))</f>
        <v>0.97870000000000001</v>
      </c>
      <c r="V72" s="239"/>
      <c r="W72" s="239"/>
      <c r="X72" s="239"/>
      <c r="Y72" s="132" t="str">
        <f>IF((VLOOKUP(E72,classifications!C:K,9,FALSE))="Sparse","S","")</f>
        <v>S</v>
      </c>
      <c r="Z72" s="132"/>
      <c r="AA72" s="132"/>
      <c r="AB72" s="132"/>
      <c r="AC72" s="132"/>
      <c r="AD72" s="251"/>
      <c r="AE72" s="251"/>
      <c r="AF72" s="251"/>
      <c r="AG72" s="251"/>
      <c r="AH72" s="251"/>
      <c r="AI72" s="251"/>
      <c r="AJ72" s="251"/>
      <c r="AK72" s="251"/>
      <c r="AL72" s="251"/>
      <c r="AP72" s="56"/>
    </row>
    <row r="73" spans="2:42" ht="12" customHeight="1">
      <c r="B73" s="244">
        <v>8</v>
      </c>
      <c r="C73" s="236"/>
      <c r="D73" s="236"/>
      <c r="E73" s="234" t="str">
        <f>VLOOKUP(B73,'Filtered Data'!K:L,2,FALSE)</f>
        <v>Shropshire</v>
      </c>
      <c r="F73" s="234"/>
      <c r="G73" s="234"/>
      <c r="H73" s="234"/>
      <c r="I73" s="234"/>
      <c r="J73" s="234"/>
      <c r="K73" s="234"/>
      <c r="L73" s="234"/>
      <c r="M73" s="234"/>
      <c r="N73" s="234"/>
      <c r="O73" s="234"/>
      <c r="P73" s="234"/>
      <c r="Q73" s="234"/>
      <c r="R73" s="234"/>
      <c r="S73" s="234"/>
      <c r="T73" s="234"/>
      <c r="U73" s="239">
        <f>IF('Filtered Data'!$H$8="%.",(VLOOKUP(B73,'Filtered Data'!K:M,3,FALSE))/100,VLOOKUP(B73,'Filtered Data'!K:M,3,FALSE))</f>
        <v>0.97819999999999996</v>
      </c>
      <c r="V73" s="239"/>
      <c r="W73" s="239"/>
      <c r="X73" s="239"/>
      <c r="Y73" s="132" t="str">
        <f>IF((VLOOKUP(E73,classifications!C:K,9,FALSE))="Sparse","S","")</f>
        <v>S</v>
      </c>
      <c r="Z73" s="132"/>
      <c r="AA73" s="132"/>
      <c r="AB73" s="132"/>
      <c r="AC73" s="132"/>
      <c r="AD73" s="251"/>
      <c r="AE73" s="251"/>
      <c r="AF73" s="251"/>
      <c r="AG73" s="251"/>
      <c r="AH73" s="251"/>
      <c r="AI73" s="251"/>
      <c r="AJ73" s="251"/>
      <c r="AK73" s="251"/>
      <c r="AL73" s="251"/>
      <c r="AP73" s="56"/>
    </row>
    <row r="74" spans="2:42" ht="12" customHeight="1">
      <c r="B74" s="244">
        <v>9</v>
      </c>
      <c r="C74" s="236"/>
      <c r="D74" s="236"/>
      <c r="E74" s="234" t="str">
        <f>VLOOKUP(B74,'Filtered Data'!K:L,2,FALSE)</f>
        <v>Wiltshire</v>
      </c>
      <c r="F74" s="234"/>
      <c r="G74" s="234"/>
      <c r="H74" s="234"/>
      <c r="I74" s="234"/>
      <c r="J74" s="234"/>
      <c r="K74" s="234"/>
      <c r="L74" s="234"/>
      <c r="M74" s="234"/>
      <c r="N74" s="234"/>
      <c r="O74" s="234"/>
      <c r="P74" s="234"/>
      <c r="Q74" s="234"/>
      <c r="R74" s="234"/>
      <c r="S74" s="234"/>
      <c r="T74" s="234"/>
      <c r="U74" s="239">
        <f>IF('Filtered Data'!$H$8="%.",(VLOOKUP(B74,'Filtered Data'!K:M,3,FALSE))/100,VLOOKUP(B74,'Filtered Data'!K:M,3,FALSE))</f>
        <v>0.97709999999999997</v>
      </c>
      <c r="V74" s="239"/>
      <c r="W74" s="239"/>
      <c r="X74" s="239"/>
      <c r="Y74" s="132" t="str">
        <f>IF((VLOOKUP(E74,classifications!C:K,9,FALSE))="Sparse","S","")</f>
        <v/>
      </c>
      <c r="Z74" s="132"/>
      <c r="AA74" s="132"/>
      <c r="AB74" s="132"/>
      <c r="AC74" s="132"/>
      <c r="AD74" s="251"/>
      <c r="AE74" s="251"/>
      <c r="AF74" s="251"/>
      <c r="AG74" s="251"/>
      <c r="AH74" s="251"/>
      <c r="AI74" s="251"/>
      <c r="AJ74" s="251"/>
      <c r="AK74" s="251"/>
      <c r="AL74" s="251"/>
      <c r="AP74" s="56"/>
    </row>
    <row r="75" spans="2:42" ht="12" customHeight="1">
      <c r="B75" s="244">
        <v>10</v>
      </c>
      <c r="C75" s="236"/>
      <c r="D75" s="236"/>
      <c r="E75" s="234" t="str">
        <f>VLOOKUP(B75,'Filtered Data'!K:L,2,FALSE)</f>
        <v>Southend-on-Sea</v>
      </c>
      <c r="F75" s="234"/>
      <c r="G75" s="234"/>
      <c r="H75" s="234"/>
      <c r="I75" s="234"/>
      <c r="J75" s="234"/>
      <c r="K75" s="234"/>
      <c r="L75" s="234"/>
      <c r="M75" s="234"/>
      <c r="N75" s="234"/>
      <c r="O75" s="234"/>
      <c r="P75" s="234"/>
      <c r="Q75" s="234"/>
      <c r="R75" s="234"/>
      <c r="S75" s="234"/>
      <c r="T75" s="234"/>
      <c r="U75" s="239">
        <f>IF('Filtered Data'!$H$8="%.",(VLOOKUP(B75,'Filtered Data'!K:M,3,FALSE))/100,VLOOKUP(B75,'Filtered Data'!K:M,3,FALSE))</f>
        <v>0.9758</v>
      </c>
      <c r="V75" s="239"/>
      <c r="W75" s="239"/>
      <c r="X75" s="239"/>
      <c r="Y75" s="132" t="str">
        <f>IF((VLOOKUP(E75,classifications!C:K,9,FALSE))="Sparse","S","")</f>
        <v/>
      </c>
      <c r="Z75" s="132"/>
      <c r="AA75" s="132"/>
      <c r="AB75" s="132"/>
      <c r="AC75" s="132"/>
      <c r="AD75" s="251"/>
      <c r="AE75" s="251"/>
      <c r="AF75" s="251"/>
      <c r="AG75" s="251"/>
      <c r="AH75" s="251"/>
      <c r="AI75" s="251"/>
      <c r="AJ75" s="251"/>
      <c r="AK75" s="251"/>
      <c r="AL75" s="251"/>
      <c r="AP75" s="56"/>
    </row>
    <row r="76" spans="2:42" ht="12" customHeight="1">
      <c r="B76" s="244">
        <v>11</v>
      </c>
      <c r="C76" s="236"/>
      <c r="D76" s="236"/>
      <c r="E76" s="234" t="str">
        <f>VLOOKUP(B76,'Filtered Data'!K:L,2,FALSE)</f>
        <v>Central Bedfordshire</v>
      </c>
      <c r="F76" s="234"/>
      <c r="G76" s="234"/>
      <c r="H76" s="234"/>
      <c r="I76" s="234"/>
      <c r="J76" s="234"/>
      <c r="K76" s="234"/>
      <c r="L76" s="234"/>
      <c r="M76" s="234"/>
      <c r="N76" s="234"/>
      <c r="O76" s="234"/>
      <c r="P76" s="234"/>
      <c r="Q76" s="234"/>
      <c r="R76" s="234"/>
      <c r="S76" s="234"/>
      <c r="T76" s="234"/>
      <c r="U76" s="239">
        <f>IF('Filtered Data'!$H$8="%.",(VLOOKUP(B76,'Filtered Data'!K:M,3,FALSE))/100,VLOOKUP(B76,'Filtered Data'!K:M,3,FALSE))</f>
        <v>0.97549999999999992</v>
      </c>
      <c r="V76" s="239"/>
      <c r="W76" s="239"/>
      <c r="X76" s="239"/>
      <c r="Y76" s="132" t="str">
        <f>IF((VLOOKUP(E76,classifications!C:K,9,FALSE))="Sparse","S","")</f>
        <v/>
      </c>
      <c r="Z76" s="132"/>
      <c r="AA76" s="132"/>
      <c r="AB76" s="132"/>
      <c r="AC76" s="132"/>
      <c r="AD76" s="251"/>
      <c r="AE76" s="251"/>
      <c r="AF76" s="251"/>
      <c r="AG76" s="251"/>
      <c r="AH76" s="251"/>
      <c r="AI76" s="251"/>
      <c r="AJ76" s="251"/>
      <c r="AK76" s="251"/>
      <c r="AL76" s="251"/>
      <c r="AP76" s="56"/>
    </row>
    <row r="77" spans="2:42" ht="12" customHeight="1">
      <c r="B77" s="244">
        <v>12</v>
      </c>
      <c r="C77" s="236"/>
      <c r="D77" s="236"/>
      <c r="E77" s="234" t="str">
        <f>VLOOKUP(B77,'Filtered Data'!K:L,2,FALSE)</f>
        <v>West Berkshire</v>
      </c>
      <c r="F77" s="234"/>
      <c r="G77" s="234"/>
      <c r="H77" s="234"/>
      <c r="I77" s="234"/>
      <c r="J77" s="234"/>
      <c r="K77" s="234"/>
      <c r="L77" s="234"/>
      <c r="M77" s="234"/>
      <c r="N77" s="234"/>
      <c r="O77" s="234"/>
      <c r="P77" s="234"/>
      <c r="Q77" s="234"/>
      <c r="R77" s="234"/>
      <c r="S77" s="234"/>
      <c r="T77" s="234"/>
      <c r="U77" s="239">
        <f>IF('Filtered Data'!$H$8="%.",(VLOOKUP(B77,'Filtered Data'!K:M,3,FALSE))/100,VLOOKUP(B77,'Filtered Data'!K:M,3,FALSE))</f>
        <v>0.97489999999999999</v>
      </c>
      <c r="V77" s="239"/>
      <c r="W77" s="239"/>
      <c r="X77" s="239"/>
      <c r="Y77" s="132" t="str">
        <f>IF((VLOOKUP(E77,classifications!C:K,9,FALSE))="Sparse","S","")</f>
        <v/>
      </c>
      <c r="Z77" s="132"/>
      <c r="AA77" s="132"/>
      <c r="AB77" s="132"/>
      <c r="AC77" s="132"/>
      <c r="AD77" s="251"/>
      <c r="AE77" s="251"/>
      <c r="AF77" s="251"/>
      <c r="AG77" s="251"/>
      <c r="AH77" s="251"/>
      <c r="AI77" s="251"/>
      <c r="AJ77" s="251"/>
      <c r="AK77" s="251"/>
      <c r="AL77" s="251"/>
      <c r="AP77" s="56"/>
    </row>
    <row r="78" spans="2:42" ht="12" customHeight="1">
      <c r="B78" s="244">
        <v>13</v>
      </c>
      <c r="C78" s="236"/>
      <c r="D78" s="236"/>
      <c r="E78" s="234" t="str">
        <f>VLOOKUP(B78,'Filtered Data'!K:L,2,FALSE)</f>
        <v>Herefordshire</v>
      </c>
      <c r="F78" s="234"/>
      <c r="G78" s="234"/>
      <c r="H78" s="234"/>
      <c r="I78" s="234"/>
      <c r="J78" s="234"/>
      <c r="K78" s="234"/>
      <c r="L78" s="234"/>
      <c r="M78" s="234"/>
      <c r="N78" s="234"/>
      <c r="O78" s="234"/>
      <c r="P78" s="234"/>
      <c r="Q78" s="234"/>
      <c r="R78" s="234"/>
      <c r="S78" s="234"/>
      <c r="T78" s="234"/>
      <c r="U78" s="239">
        <f>IF('Filtered Data'!$H$8="%.",(VLOOKUP(B78,'Filtered Data'!K:M,3,FALSE))/100,VLOOKUP(B78,'Filtered Data'!K:M,3,FALSE))</f>
        <v>0.97409999999999997</v>
      </c>
      <c r="V78" s="239"/>
      <c r="W78" s="239"/>
      <c r="X78" s="239"/>
      <c r="Y78" s="132" t="str">
        <f>IF((VLOOKUP(E78,classifications!C:K,9,FALSE))="Sparse","S","")</f>
        <v>S</v>
      </c>
      <c r="Z78" s="132"/>
      <c r="AA78" s="132"/>
      <c r="AB78" s="132"/>
      <c r="AC78" s="132"/>
      <c r="AD78" s="251"/>
      <c r="AE78" s="251"/>
      <c r="AF78" s="251"/>
      <c r="AG78" s="251"/>
      <c r="AH78" s="251"/>
      <c r="AI78" s="251"/>
      <c r="AJ78" s="251"/>
      <c r="AK78" s="251"/>
      <c r="AL78" s="251"/>
      <c r="AP78" s="56"/>
    </row>
    <row r="79" spans="2:42" ht="12" customHeight="1">
      <c r="B79" s="244">
        <v>14</v>
      </c>
      <c r="C79" s="236"/>
      <c r="D79" s="236"/>
      <c r="E79" s="234" t="str">
        <f>VLOOKUP(B79,'Filtered Data'!K:L,2,FALSE)</f>
        <v>Westmorland &amp; Furness</v>
      </c>
      <c r="F79" s="234"/>
      <c r="G79" s="234"/>
      <c r="H79" s="234"/>
      <c r="I79" s="234"/>
      <c r="J79" s="234"/>
      <c r="K79" s="234"/>
      <c r="L79" s="234"/>
      <c r="M79" s="234"/>
      <c r="N79" s="234"/>
      <c r="O79" s="234"/>
      <c r="P79" s="234"/>
      <c r="Q79" s="234"/>
      <c r="R79" s="234"/>
      <c r="S79" s="234"/>
      <c r="T79" s="234"/>
      <c r="U79" s="239">
        <f>IF('Filtered Data'!$H$8="%.",(VLOOKUP(B79,'Filtered Data'!K:M,3,FALSE))/100,VLOOKUP(B79,'Filtered Data'!K:M,3,FALSE))</f>
        <v>0.9738</v>
      </c>
      <c r="V79" s="239"/>
      <c r="W79" s="239"/>
      <c r="X79" s="239"/>
      <c r="Y79" s="132" t="str">
        <f>IF((VLOOKUP(E79,classifications!C:K,9,FALSE))="Sparse","S","")</f>
        <v>S</v>
      </c>
      <c r="Z79" s="132"/>
      <c r="AA79" s="132"/>
      <c r="AB79" s="132"/>
      <c r="AC79" s="132"/>
      <c r="AD79" s="251"/>
      <c r="AE79" s="251"/>
      <c r="AF79" s="251"/>
      <c r="AG79" s="251"/>
      <c r="AH79" s="251"/>
      <c r="AI79" s="251"/>
      <c r="AJ79" s="251"/>
      <c r="AK79" s="251"/>
      <c r="AL79" s="251"/>
      <c r="AP79" s="56"/>
    </row>
    <row r="80" spans="2:42" ht="12" customHeight="1">
      <c r="B80" s="244">
        <v>15</v>
      </c>
      <c r="C80" s="236"/>
      <c r="D80" s="236"/>
      <c r="E80" s="234" t="str">
        <f>VLOOKUP(B80,'Filtered Data'!K:L,2,FALSE)</f>
        <v>York</v>
      </c>
      <c r="F80" s="234"/>
      <c r="G80" s="234"/>
      <c r="H80" s="234"/>
      <c r="I80" s="234"/>
      <c r="J80" s="234"/>
      <c r="K80" s="234"/>
      <c r="L80" s="234"/>
      <c r="M80" s="234"/>
      <c r="N80" s="234"/>
      <c r="O80" s="234"/>
      <c r="P80" s="234"/>
      <c r="Q80" s="234"/>
      <c r="R80" s="234"/>
      <c r="S80" s="234"/>
      <c r="T80" s="234"/>
      <c r="U80" s="239">
        <f>IF('Filtered Data'!$H$8="%.",(VLOOKUP(B80,'Filtered Data'!K:M,3,FALSE))/100,VLOOKUP(B80,'Filtered Data'!K:M,3,FALSE))</f>
        <v>0.9738</v>
      </c>
      <c r="V80" s="239"/>
      <c r="W80" s="239"/>
      <c r="X80" s="239"/>
      <c r="Y80" s="132" t="str">
        <f>IF((VLOOKUP(E80,classifications!C:K,9,FALSE))="Sparse","S","")</f>
        <v/>
      </c>
      <c r="Z80" s="132"/>
      <c r="AA80" s="132"/>
      <c r="AB80" s="132"/>
      <c r="AC80" s="132"/>
      <c r="AD80" s="251"/>
      <c r="AE80" s="251"/>
      <c r="AF80" s="251"/>
      <c r="AG80" s="251"/>
      <c r="AH80" s="251"/>
      <c r="AI80" s="251"/>
      <c r="AJ80" s="251"/>
      <c r="AK80" s="251"/>
      <c r="AL80" s="251"/>
      <c r="AP80" s="56"/>
    </row>
    <row r="81" spans="1:48" ht="12" customHeight="1">
      <c r="B81" s="244">
        <v>16</v>
      </c>
      <c r="C81" s="236"/>
      <c r="D81" s="236"/>
      <c r="E81" s="234" t="str">
        <f>VLOOKUP(B81,'Filtered Data'!K:L,2,FALSE)</f>
        <v>Windsor &amp; Maidenhead</v>
      </c>
      <c r="F81" s="234"/>
      <c r="G81" s="234"/>
      <c r="H81" s="234"/>
      <c r="I81" s="234"/>
      <c r="J81" s="234"/>
      <c r="K81" s="234"/>
      <c r="L81" s="234"/>
      <c r="M81" s="234"/>
      <c r="N81" s="234"/>
      <c r="O81" s="234"/>
      <c r="P81" s="234"/>
      <c r="Q81" s="234"/>
      <c r="R81" s="234"/>
      <c r="S81" s="234"/>
      <c r="T81" s="234"/>
      <c r="U81" s="239">
        <f>IF('Filtered Data'!$H$8="%.",(VLOOKUP(B81,'Filtered Data'!K:M,3,FALSE))/100,VLOOKUP(B81,'Filtered Data'!K:M,3,FALSE))</f>
        <v>0.97349999999999992</v>
      </c>
      <c r="V81" s="239"/>
      <c r="W81" s="239"/>
      <c r="X81" s="239"/>
      <c r="Y81" s="132" t="str">
        <f>IF((VLOOKUP(E81,classifications!C:K,9,FALSE))="Sparse","S","")</f>
        <v/>
      </c>
      <c r="Z81" s="132"/>
      <c r="AA81" s="132"/>
      <c r="AB81" s="132"/>
      <c r="AC81" s="132"/>
      <c r="AD81" s="251"/>
      <c r="AE81" s="251"/>
      <c r="AF81" s="251"/>
      <c r="AG81" s="251"/>
      <c r="AH81" s="251"/>
      <c r="AI81" s="251"/>
      <c r="AJ81" s="251"/>
      <c r="AK81" s="251"/>
      <c r="AL81" s="251"/>
      <c r="AP81" s="56"/>
    </row>
    <row r="82" spans="1:48" ht="12" customHeight="1">
      <c r="B82" s="244">
        <v>17</v>
      </c>
      <c r="C82" s="236"/>
      <c r="D82" s="236"/>
      <c r="E82" s="234" t="str">
        <f>VLOOKUP(B82,'Filtered Data'!K:L,2,FALSE)</f>
        <v>Telford &amp; Wrekin</v>
      </c>
      <c r="F82" s="234"/>
      <c r="G82" s="234"/>
      <c r="H82" s="234"/>
      <c r="I82" s="234"/>
      <c r="J82" s="234"/>
      <c r="K82" s="234"/>
      <c r="L82" s="234"/>
      <c r="M82" s="234"/>
      <c r="N82" s="234"/>
      <c r="O82" s="234"/>
      <c r="P82" s="234"/>
      <c r="Q82" s="234"/>
      <c r="R82" s="234"/>
      <c r="S82" s="234"/>
      <c r="T82" s="234"/>
      <c r="U82" s="239">
        <f>IF('Filtered Data'!$H$8="%.",(VLOOKUP(B82,'Filtered Data'!K:M,3,FALSE))/100,VLOOKUP(B82,'Filtered Data'!K:M,3,FALSE))</f>
        <v>0.97310000000000008</v>
      </c>
      <c r="V82" s="239"/>
      <c r="W82" s="239"/>
      <c r="X82" s="239"/>
      <c r="Y82" s="132" t="str">
        <f>IF((VLOOKUP(E82,classifications!C:K,9,FALSE))="Sparse","S","")</f>
        <v/>
      </c>
      <c r="Z82" s="132"/>
      <c r="AA82" s="132"/>
      <c r="AB82" s="132"/>
      <c r="AC82" s="132"/>
      <c r="AD82" s="251"/>
      <c r="AE82" s="251"/>
      <c r="AF82" s="251"/>
      <c r="AG82" s="251"/>
      <c r="AH82" s="251"/>
      <c r="AI82" s="251"/>
      <c r="AJ82" s="251"/>
      <c r="AK82" s="251"/>
      <c r="AL82" s="251"/>
      <c r="AP82" s="56"/>
    </row>
    <row r="83" spans="1:48" ht="12" customHeight="1">
      <c r="B83" s="244">
        <v>18</v>
      </c>
      <c r="C83" s="236"/>
      <c r="D83" s="236"/>
      <c r="E83" s="234" t="str">
        <f>VLOOKUP(B83,'Filtered Data'!K:L,2,FALSE)</f>
        <v>South Gloucestershire</v>
      </c>
      <c r="F83" s="234"/>
      <c r="G83" s="234"/>
      <c r="H83" s="234"/>
      <c r="I83" s="234"/>
      <c r="J83" s="234"/>
      <c r="K83" s="234"/>
      <c r="L83" s="234"/>
      <c r="M83" s="234"/>
      <c r="N83" s="234"/>
      <c r="O83" s="234"/>
      <c r="P83" s="234"/>
      <c r="Q83" s="234"/>
      <c r="R83" s="234"/>
      <c r="S83" s="234"/>
      <c r="T83" s="234"/>
      <c r="U83" s="239">
        <f>IF('Filtered Data'!$H$8="%.",(VLOOKUP(B83,'Filtered Data'!K:M,3,FALSE))/100,VLOOKUP(B83,'Filtered Data'!K:M,3,FALSE))</f>
        <v>0.97239999999999993</v>
      </c>
      <c r="V83" s="239"/>
      <c r="W83" s="239"/>
      <c r="X83" s="239"/>
      <c r="Y83" s="132" t="str">
        <f>IF((VLOOKUP(E83,classifications!C:K,9,FALSE))="Sparse","S","")</f>
        <v/>
      </c>
      <c r="Z83" s="132"/>
      <c r="AA83" s="132"/>
      <c r="AB83" s="132"/>
      <c r="AC83" s="132"/>
      <c r="AD83" s="251"/>
      <c r="AE83" s="251"/>
      <c r="AF83" s="251"/>
      <c r="AG83" s="251"/>
      <c r="AH83" s="251"/>
      <c r="AI83" s="251"/>
      <c r="AJ83" s="251"/>
      <c r="AK83" s="251"/>
      <c r="AL83" s="251"/>
      <c r="AP83" s="56"/>
    </row>
    <row r="84" spans="1:48" ht="12" customHeight="1">
      <c r="B84" s="244">
        <v>19</v>
      </c>
      <c r="C84" s="236"/>
      <c r="D84" s="236"/>
      <c r="E84" s="234" t="str">
        <f>VLOOKUP(B84,'Filtered Data'!K:L,2,FALSE)</f>
        <v>Bath &amp; North East Somerset</v>
      </c>
      <c r="F84" s="234"/>
      <c r="G84" s="234"/>
      <c r="H84" s="234"/>
      <c r="I84" s="234"/>
      <c r="J84" s="234"/>
      <c r="K84" s="234"/>
      <c r="L84" s="234"/>
      <c r="M84" s="234"/>
      <c r="N84" s="234"/>
      <c r="O84" s="234"/>
      <c r="P84" s="234"/>
      <c r="Q84" s="234"/>
      <c r="R84" s="234"/>
      <c r="S84" s="234"/>
      <c r="T84" s="234"/>
      <c r="U84" s="239">
        <f>IF('Filtered Data'!$H$8="%.",(VLOOKUP(B84,'Filtered Data'!K:M,3,FALSE))/100,VLOOKUP(B84,'Filtered Data'!K:M,3,FALSE))</f>
        <v>0.97129999999999994</v>
      </c>
      <c r="V84" s="239"/>
      <c r="W84" s="239"/>
      <c r="X84" s="239"/>
      <c r="Y84" s="132" t="str">
        <f>IF((VLOOKUP(E84,classifications!C:K,9,FALSE))="Sparse","S","")</f>
        <v/>
      </c>
      <c r="Z84" s="132"/>
      <c r="AA84" s="132"/>
      <c r="AB84" s="132"/>
      <c r="AC84" s="132"/>
      <c r="AD84" s="251"/>
      <c r="AE84" s="251"/>
      <c r="AF84" s="251"/>
      <c r="AG84" s="251"/>
      <c r="AH84" s="251"/>
      <c r="AI84" s="251"/>
      <c r="AJ84" s="251"/>
      <c r="AK84" s="251"/>
      <c r="AL84" s="251"/>
      <c r="AP84" s="56"/>
    </row>
    <row r="85" spans="1:48" ht="12" customHeight="1">
      <c r="B85" s="244">
        <v>20</v>
      </c>
      <c r="C85" s="244"/>
      <c r="D85" s="244"/>
      <c r="E85" s="234" t="str">
        <f>VLOOKUP(B85,'Filtered Data'!K:L,2,FALSE)</f>
        <v>Milton Keynes</v>
      </c>
      <c r="F85" s="234"/>
      <c r="G85" s="234"/>
      <c r="H85" s="234"/>
      <c r="I85" s="234"/>
      <c r="J85" s="234"/>
      <c r="K85" s="234"/>
      <c r="L85" s="234"/>
      <c r="M85" s="234"/>
      <c r="N85" s="234"/>
      <c r="O85" s="234"/>
      <c r="P85" s="234"/>
      <c r="Q85" s="234"/>
      <c r="R85" s="234"/>
      <c r="S85" s="234"/>
      <c r="T85" s="234"/>
      <c r="U85" s="239">
        <f>IF('Filtered Data'!$H$8="%.",(VLOOKUP(B85,'Filtered Data'!K:M,3,FALSE))/100,VLOOKUP(B85,'Filtered Data'!K:M,3,FALSE))</f>
        <v>0.97099999999999997</v>
      </c>
      <c r="V85" s="239"/>
      <c r="W85" s="239"/>
      <c r="X85" s="239"/>
      <c r="Y85" s="132" t="str">
        <f>IF((VLOOKUP(E85,classifications!C:K,9,FALSE))="Sparse","S","")</f>
        <v/>
      </c>
      <c r="Z85" s="132"/>
      <c r="AA85" s="132"/>
      <c r="AB85" s="132"/>
      <c r="AC85" s="132"/>
      <c r="AD85" s="251"/>
      <c r="AE85" s="251"/>
      <c r="AF85" s="251"/>
      <c r="AG85" s="251"/>
      <c r="AH85" s="251"/>
      <c r="AI85" s="251"/>
      <c r="AJ85" s="251"/>
      <c r="AK85" s="251"/>
      <c r="AL85" s="251"/>
      <c r="AP85" s="56"/>
    </row>
    <row r="86" spans="1:48" ht="12" customHeight="1">
      <c r="A86" s="51"/>
      <c r="B86" s="246" t="str">
        <f>IF(Q37&lt;=MAX(B66:D85),"",Q37)</f>
        <v/>
      </c>
      <c r="C86" s="246"/>
      <c r="D86" s="246"/>
      <c r="E86" s="245" t="str">
        <f>IF(B86="","",VLOOKUP(B86,'Filtered Data'!K:L,2,FALSE))</f>
        <v/>
      </c>
      <c r="F86" s="245"/>
      <c r="G86" s="245"/>
      <c r="H86" s="245"/>
      <c r="I86" s="245"/>
      <c r="J86" s="245"/>
      <c r="K86" s="245"/>
      <c r="L86" s="245"/>
      <c r="M86" s="245"/>
      <c r="N86" s="245"/>
      <c r="O86" s="245"/>
      <c r="P86" s="245"/>
      <c r="Q86" s="245"/>
      <c r="R86" s="245"/>
      <c r="S86" s="245"/>
      <c r="T86" s="245"/>
      <c r="U86" s="310" t="str">
        <f>IF(B86="","",L35)</f>
        <v/>
      </c>
      <c r="V86" s="310"/>
      <c r="W86" s="310"/>
      <c r="X86" s="310"/>
      <c r="Y86" s="132" t="str">
        <f>IF(B86="","",IF((VLOOKUP(E86,classifications!C:K,9,FALSE))="Sparse","S",""))</f>
        <v/>
      </c>
      <c r="Z86" s="132"/>
      <c r="AA86" s="132"/>
      <c r="AB86" s="132"/>
      <c r="AC86" s="132"/>
      <c r="AD86" s="311"/>
      <c r="AE86" s="311"/>
      <c r="AF86" s="311"/>
      <c r="AG86" s="311"/>
      <c r="AH86" s="311"/>
      <c r="AI86" s="311"/>
      <c r="AJ86" s="311"/>
      <c r="AK86" s="311"/>
      <c r="AL86" s="311"/>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47" t="str">
        <f>IF('Filtered Data'!D1="MD","",IF('Filtered Data'!D1="SC","","Rank"))</f>
        <v>Rank</v>
      </c>
      <c r="C91" s="247"/>
      <c r="D91" s="247"/>
      <c r="E91" s="235" t="str">
        <f>IF('Filtered Data'!D1="MD","",IF('Filtered Data'!D1="SC","","Authority"))</f>
        <v>Authority</v>
      </c>
      <c r="F91" s="235"/>
      <c r="G91" s="235"/>
      <c r="H91" s="235"/>
      <c r="I91" s="235"/>
      <c r="J91" s="235"/>
      <c r="K91" s="235"/>
      <c r="L91" s="235"/>
      <c r="M91" s="235"/>
      <c r="N91" s="235"/>
      <c r="O91" s="231"/>
      <c r="P91" s="231"/>
      <c r="Q91" s="231"/>
      <c r="R91" s="231"/>
      <c r="S91" s="231"/>
      <c r="T91" s="231"/>
      <c r="U91" s="247" t="str">
        <f>IF('Filtered Data'!D1="MD","",IF('Filtered Data'!D1="SC","","Value"))</f>
        <v>Value</v>
      </c>
      <c r="V91" s="247"/>
      <c r="W91" s="247"/>
      <c r="X91" s="247"/>
      <c r="AA91" s="247"/>
      <c r="AB91" s="247"/>
      <c r="AC91" s="247"/>
      <c r="AD91" s="235"/>
      <c r="AE91" s="235"/>
      <c r="AF91" s="235"/>
      <c r="AG91" s="235"/>
      <c r="AH91" s="235"/>
      <c r="AI91" s="235"/>
      <c r="AJ91" s="235"/>
      <c r="AK91" s="235"/>
      <c r="AL91" s="235"/>
      <c r="AM91" s="235"/>
      <c r="AN91" s="247"/>
      <c r="AO91" s="247"/>
      <c r="AP91" s="247"/>
      <c r="AV91" s="56"/>
    </row>
    <row r="92" spans="1:48" ht="12" customHeight="1">
      <c r="B92" s="242">
        <f>IF('Filtered Data'!$D$1="MD","",IF('Filtered Data'!$D$1="SC","",IF('Filtered Data'!$D$1="UA",'Filtered Data'!AS11,'Filtered Data'!AL11)))</f>
        <v>1</v>
      </c>
      <c r="C92" s="243"/>
      <c r="D92" s="243"/>
      <c r="E92" s="245" t="str">
        <f>IF(B92="","",IF('Filtered Data'!$D$1="UA",VLOOKUP(B92,'Filtered Data'!AS:AU,2,FALSE),VLOOKUP(B92,'Filtered Data'!AL:AN,2,FALSE)))</f>
        <v>Cheshire East</v>
      </c>
      <c r="F92" s="245"/>
      <c r="G92" s="245"/>
      <c r="H92" s="245"/>
      <c r="I92" s="245"/>
      <c r="J92" s="245"/>
      <c r="K92" s="245"/>
      <c r="L92" s="245"/>
      <c r="M92" s="245"/>
      <c r="N92" s="245"/>
      <c r="O92" s="245"/>
      <c r="P92" s="245"/>
      <c r="Q92" s="245"/>
      <c r="R92" s="245"/>
      <c r="S92" s="245"/>
      <c r="T92" s="245"/>
      <c r="U92" s="23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0.97939999999999994</v>
      </c>
      <c r="V92" s="239"/>
      <c r="W92" s="239"/>
      <c r="X92" s="239"/>
      <c r="Y92" s="133" t="str">
        <f>IF(E92="","",IF((VLOOKUP(E92,classifications!C:K,9,FALSE))="Sparse","S",""))</f>
        <v>S</v>
      </c>
      <c r="AA92" s="249"/>
      <c r="AB92" s="236"/>
      <c r="AC92" s="236"/>
      <c r="AD92" s="234"/>
      <c r="AE92" s="234"/>
      <c r="AF92" s="234"/>
      <c r="AG92" s="234"/>
      <c r="AH92" s="234"/>
      <c r="AI92" s="234"/>
      <c r="AJ92" s="234"/>
      <c r="AK92" s="234"/>
      <c r="AL92" s="234"/>
      <c r="AM92" s="234"/>
      <c r="AN92" s="309"/>
      <c r="AO92" s="309"/>
      <c r="AP92" s="309"/>
      <c r="AQ92" s="309"/>
      <c r="AR92" s="133"/>
      <c r="AV92" s="56"/>
    </row>
    <row r="93" spans="1:48" ht="12" customHeight="1">
      <c r="B93" s="242">
        <f>IF('Filtered Data'!$D$1="MD","",IF('Filtered Data'!$D$1="SC","",IF('Filtered Data'!$D$1="UA",'Filtered Data'!AS12,'Filtered Data'!AL12)))</f>
        <v>2</v>
      </c>
      <c r="C93" s="243"/>
      <c r="D93" s="243"/>
      <c r="E93" s="245" t="str">
        <f>IF(B93="","",IF('Filtered Data'!$D$1="UA",VLOOKUP(B93,'Filtered Data'!AS:AU,2,FALSE),VLOOKUP(B93,'Filtered Data'!AL:AN,2,FALSE)))</f>
        <v>Westmorland &amp; Furness</v>
      </c>
      <c r="F93" s="245"/>
      <c r="G93" s="245"/>
      <c r="H93" s="245"/>
      <c r="I93" s="245"/>
      <c r="J93" s="245"/>
      <c r="K93" s="245"/>
      <c r="L93" s="245"/>
      <c r="M93" s="245"/>
      <c r="N93" s="245"/>
      <c r="O93" s="245"/>
      <c r="P93" s="245"/>
      <c r="Q93" s="245"/>
      <c r="R93" s="245"/>
      <c r="S93" s="245"/>
      <c r="T93" s="245"/>
      <c r="U93" s="23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0.9738</v>
      </c>
      <c r="V93" s="239"/>
      <c r="W93" s="239"/>
      <c r="X93" s="239"/>
      <c r="Y93" s="133" t="str">
        <f>IF(E93="","",IF((VLOOKUP(E93,classifications!C:K,9,FALSE))="Sparse","S",""))</f>
        <v>S</v>
      </c>
      <c r="AA93" s="249"/>
      <c r="AB93" s="236"/>
      <c r="AC93" s="236"/>
      <c r="AD93" s="234"/>
      <c r="AE93" s="234"/>
      <c r="AF93" s="234"/>
      <c r="AG93" s="234"/>
      <c r="AH93" s="234"/>
      <c r="AI93" s="234"/>
      <c r="AJ93" s="234"/>
      <c r="AK93" s="234"/>
      <c r="AL93" s="234"/>
      <c r="AM93" s="234"/>
      <c r="AN93" s="309"/>
      <c r="AO93" s="309"/>
      <c r="AP93" s="309"/>
      <c r="AQ93" s="309"/>
      <c r="AR93" s="133"/>
      <c r="AV93" s="56"/>
    </row>
    <row r="94" spans="1:48" ht="12" customHeight="1">
      <c r="B94" s="242">
        <f>IF('Filtered Data'!$D$1="MD","",IF('Filtered Data'!$D$1="SC","",IF('Filtered Data'!$D$1="UA",'Filtered Data'!AS13,'Filtered Data'!AL13)))</f>
        <v>3</v>
      </c>
      <c r="C94" s="243"/>
      <c r="D94" s="243"/>
      <c r="E94" s="245" t="str">
        <f>IF(B94="","",IF('Filtered Data'!$D$1="UA",VLOOKUP(B94,'Filtered Data'!AS:AU,2,FALSE),VLOOKUP(B94,'Filtered Data'!AL:AN,2,FALSE)))</f>
        <v>Cheshire West &amp; Chester</v>
      </c>
      <c r="F94" s="245"/>
      <c r="G94" s="245"/>
      <c r="H94" s="245"/>
      <c r="I94" s="245"/>
      <c r="J94" s="245"/>
      <c r="K94" s="245"/>
      <c r="L94" s="245"/>
      <c r="M94" s="245"/>
      <c r="N94" s="245"/>
      <c r="O94" s="245"/>
      <c r="P94" s="245"/>
      <c r="Q94" s="245"/>
      <c r="R94" s="245"/>
      <c r="S94" s="245"/>
      <c r="T94" s="245"/>
      <c r="U94" s="23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0.9698</v>
      </c>
      <c r="V94" s="239"/>
      <c r="W94" s="239"/>
      <c r="X94" s="239"/>
      <c r="Y94" s="133" t="str">
        <f>IF(E94="","",IF((VLOOKUP(E94,classifications!C:K,9,FALSE))="Sparse","S",""))</f>
        <v/>
      </c>
      <c r="AA94" s="249"/>
      <c r="AB94" s="236"/>
      <c r="AC94" s="236"/>
      <c r="AD94" s="234"/>
      <c r="AE94" s="234"/>
      <c r="AF94" s="234"/>
      <c r="AG94" s="234"/>
      <c r="AH94" s="234"/>
      <c r="AI94" s="234"/>
      <c r="AJ94" s="234"/>
      <c r="AK94" s="234"/>
      <c r="AL94" s="234"/>
      <c r="AM94" s="234"/>
      <c r="AN94" s="309"/>
      <c r="AO94" s="309"/>
      <c r="AP94" s="309"/>
      <c r="AQ94" s="309"/>
      <c r="AR94" s="133"/>
      <c r="AV94" s="56"/>
    </row>
    <row r="95" spans="1:48" ht="12" customHeight="1">
      <c r="B95" s="242">
        <f>IF('Filtered Data'!$D$1="MD","",IF('Filtered Data'!$D$1="SC","",IF('Filtered Data'!$D$1="UA",'Filtered Data'!AS14,'Filtered Data'!AL14)))</f>
        <v>4</v>
      </c>
      <c r="C95" s="243"/>
      <c r="D95" s="243"/>
      <c r="E95" s="245" t="str">
        <f>IF(B95="","",IF('Filtered Data'!$D$1="UA",VLOOKUP(B95,'Filtered Data'!AS:AU,2,FALSE),VLOOKUP(B95,'Filtered Data'!AL:AN,2,FALSE)))</f>
        <v>Warrington</v>
      </c>
      <c r="F95" s="245"/>
      <c r="G95" s="245"/>
      <c r="H95" s="245"/>
      <c r="I95" s="245"/>
      <c r="J95" s="245"/>
      <c r="K95" s="245"/>
      <c r="L95" s="245"/>
      <c r="M95" s="245"/>
      <c r="N95" s="245"/>
      <c r="O95" s="245"/>
      <c r="P95" s="245"/>
      <c r="Q95" s="245"/>
      <c r="R95" s="245"/>
      <c r="S95" s="245"/>
      <c r="T95" s="245"/>
      <c r="U95" s="23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0.9637</v>
      </c>
      <c r="V95" s="239"/>
      <c r="W95" s="239"/>
      <c r="X95" s="239"/>
      <c r="Y95" s="133" t="str">
        <f>IF(E95="","",IF((VLOOKUP(E95,classifications!C:K,9,FALSE))="Sparse","S",""))</f>
        <v/>
      </c>
      <c r="AA95" s="249"/>
      <c r="AB95" s="236"/>
      <c r="AC95" s="236"/>
      <c r="AD95" s="234"/>
      <c r="AE95" s="234"/>
      <c r="AF95" s="234"/>
      <c r="AG95" s="234"/>
      <c r="AH95" s="234"/>
      <c r="AI95" s="234"/>
      <c r="AJ95" s="234"/>
      <c r="AK95" s="234"/>
      <c r="AL95" s="234"/>
      <c r="AM95" s="234"/>
      <c r="AN95" s="309"/>
      <c r="AO95" s="309"/>
      <c r="AP95" s="309"/>
      <c r="AQ95" s="309"/>
      <c r="AR95" s="133"/>
      <c r="AV95" s="56"/>
    </row>
    <row r="96" spans="1:48" ht="12" customHeight="1">
      <c r="B96" s="242">
        <f>IF('Filtered Data'!$D$1="MD","",IF('Filtered Data'!$D$1="SC","",IF('Filtered Data'!$D$1="UA",'Filtered Data'!AS15,'Filtered Data'!AL15)))</f>
        <v>5</v>
      </c>
      <c r="C96" s="243"/>
      <c r="D96" s="243"/>
      <c r="E96" s="245" t="str">
        <f>IF(B96="","",IF('Filtered Data'!$D$1="UA",VLOOKUP(B96,'Filtered Data'!AS:AU,2,FALSE),VLOOKUP(B96,'Filtered Data'!AL:AN,2,FALSE)))</f>
        <v>Cumberland</v>
      </c>
      <c r="F96" s="245"/>
      <c r="G96" s="245"/>
      <c r="H96" s="245"/>
      <c r="I96" s="245"/>
      <c r="J96" s="245"/>
      <c r="K96" s="245"/>
      <c r="L96" s="245"/>
      <c r="M96" s="245"/>
      <c r="N96" s="245"/>
      <c r="O96" s="245"/>
      <c r="P96" s="245"/>
      <c r="Q96" s="245"/>
      <c r="R96" s="245"/>
      <c r="S96" s="245"/>
      <c r="T96" s="245"/>
      <c r="U96" s="23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0.96260000000000001</v>
      </c>
      <c r="V96" s="239"/>
      <c r="W96" s="239"/>
      <c r="X96" s="239"/>
      <c r="Y96" s="133" t="str">
        <f>IF(E96="","",IF((VLOOKUP(E96,classifications!C:K,9,FALSE))="Sparse","S",""))</f>
        <v>S</v>
      </c>
      <c r="AA96" s="249"/>
      <c r="AB96" s="236"/>
      <c r="AC96" s="236"/>
      <c r="AD96" s="234"/>
      <c r="AE96" s="234"/>
      <c r="AF96" s="234"/>
      <c r="AG96" s="234"/>
      <c r="AH96" s="234"/>
      <c r="AI96" s="234"/>
      <c r="AJ96" s="234"/>
      <c r="AK96" s="234"/>
      <c r="AL96" s="234"/>
      <c r="AM96" s="234"/>
      <c r="AN96" s="309"/>
      <c r="AO96" s="309"/>
      <c r="AP96" s="309"/>
      <c r="AQ96" s="309"/>
      <c r="AR96" s="133"/>
      <c r="AV96" s="56"/>
    </row>
    <row r="97" spans="2:48" ht="12" customHeight="1">
      <c r="B97" s="242">
        <f>IF('Filtered Data'!$D$1="MD","",IF('Filtered Data'!$D$1="SC","",IF('Filtered Data'!$D$1="UA",'Filtered Data'!AS16,'Filtered Data'!AL16)))</f>
        <v>6</v>
      </c>
      <c r="C97" s="243"/>
      <c r="D97" s="243"/>
      <c r="E97" s="245" t="str">
        <f>IF(B97="","",IF('Filtered Data'!$D$1="UA",VLOOKUP(B97,'Filtered Data'!AS:AU,2,FALSE),VLOOKUP(B97,'Filtered Data'!AL:AN,2,FALSE)))</f>
        <v>Blackburn with Darwen</v>
      </c>
      <c r="F97" s="245"/>
      <c r="G97" s="245"/>
      <c r="H97" s="245"/>
      <c r="I97" s="245"/>
      <c r="J97" s="245"/>
      <c r="K97" s="245"/>
      <c r="L97" s="245"/>
      <c r="M97" s="245"/>
      <c r="N97" s="245"/>
      <c r="O97" s="245"/>
      <c r="P97" s="245"/>
      <c r="Q97" s="245"/>
      <c r="R97" s="245"/>
      <c r="S97" s="245"/>
      <c r="T97" s="245"/>
      <c r="U97" s="23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0.95299999999999996</v>
      </c>
      <c r="V97" s="239"/>
      <c r="W97" s="239"/>
      <c r="X97" s="239"/>
      <c r="Y97" s="133" t="str">
        <f>IF(E97="","",IF((VLOOKUP(E97,classifications!C:K,9,FALSE))="Sparse","S",""))</f>
        <v/>
      </c>
      <c r="AA97" s="249"/>
      <c r="AB97" s="236"/>
      <c r="AC97" s="236"/>
      <c r="AD97" s="234"/>
      <c r="AE97" s="234"/>
      <c r="AF97" s="234"/>
      <c r="AG97" s="234"/>
      <c r="AH97" s="234"/>
      <c r="AI97" s="234"/>
      <c r="AJ97" s="234"/>
      <c r="AK97" s="234"/>
      <c r="AL97" s="234"/>
      <c r="AM97" s="234"/>
      <c r="AN97" s="309"/>
      <c r="AO97" s="309"/>
      <c r="AP97" s="309"/>
      <c r="AQ97" s="309"/>
      <c r="AR97" s="133"/>
      <c r="AV97" s="56"/>
    </row>
    <row r="98" spans="2:48" ht="12" customHeight="1">
      <c r="B98" s="242">
        <f>IF('Filtered Data'!$D$1="MD","",IF('Filtered Data'!$D$1="SC","",IF('Filtered Data'!$D$1="UA",'Filtered Data'!AS17,'Filtered Data'!AL17)))</f>
        <v>7</v>
      </c>
      <c r="C98" s="243"/>
      <c r="D98" s="243"/>
      <c r="E98" s="245" t="str">
        <f>IF(B98="","",IF('Filtered Data'!$D$1="UA",VLOOKUP(B98,'Filtered Data'!AS:AU,2,FALSE),VLOOKUP(B98,'Filtered Data'!AL:AN,2,FALSE)))</f>
        <v>Halton</v>
      </c>
      <c r="F98" s="245"/>
      <c r="G98" s="245"/>
      <c r="H98" s="245"/>
      <c r="I98" s="245"/>
      <c r="J98" s="245"/>
      <c r="K98" s="245"/>
      <c r="L98" s="245"/>
      <c r="M98" s="245"/>
      <c r="N98" s="245"/>
      <c r="O98" s="245"/>
      <c r="P98" s="245"/>
      <c r="Q98" s="245"/>
      <c r="R98" s="245"/>
      <c r="S98" s="245"/>
      <c r="T98" s="245"/>
      <c r="U98" s="239">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0.93779999999999997</v>
      </c>
      <c r="V98" s="239"/>
      <c r="W98" s="239"/>
      <c r="X98" s="239"/>
      <c r="Y98" s="133" t="str">
        <f>IF(E98="","",IF((VLOOKUP(E98,classifications!C:K,9,FALSE))="Sparse","S",""))</f>
        <v/>
      </c>
      <c r="AA98" s="249"/>
      <c r="AB98" s="236"/>
      <c r="AC98" s="236"/>
      <c r="AD98" s="234"/>
      <c r="AE98" s="234"/>
      <c r="AF98" s="234"/>
      <c r="AG98" s="234"/>
      <c r="AH98" s="234"/>
      <c r="AI98" s="234"/>
      <c r="AJ98" s="234"/>
      <c r="AK98" s="234"/>
      <c r="AL98" s="234"/>
      <c r="AM98" s="234"/>
      <c r="AN98" s="309"/>
      <c r="AO98" s="309"/>
      <c r="AP98" s="309"/>
      <c r="AQ98" s="309"/>
      <c r="AR98" s="133"/>
      <c r="AV98" s="56"/>
    </row>
    <row r="99" spans="2:48" ht="12" customHeight="1">
      <c r="B99" s="242">
        <f>IF('Filtered Data'!$D$1="MD","",IF('Filtered Data'!$D$1="SC","",IF('Filtered Data'!$D$1="UA",'Filtered Data'!AS18,'Filtered Data'!AL18)))</f>
        <v>8</v>
      </c>
      <c r="C99" s="243"/>
      <c r="D99" s="243"/>
      <c r="E99" s="245" t="str">
        <f>IF(B99="","",IF('Filtered Data'!$D$1="UA",VLOOKUP(B99,'Filtered Data'!AS:AU,2,FALSE),VLOOKUP(B99,'Filtered Data'!AL:AN,2,FALSE)))</f>
        <v>Blackpool</v>
      </c>
      <c r="F99" s="245"/>
      <c r="G99" s="245"/>
      <c r="H99" s="245"/>
      <c r="I99" s="245"/>
      <c r="J99" s="245"/>
      <c r="K99" s="245"/>
      <c r="L99" s="245"/>
      <c r="M99" s="245"/>
      <c r="N99" s="245"/>
      <c r="O99" s="245"/>
      <c r="P99" s="245"/>
      <c r="Q99" s="245"/>
      <c r="R99" s="245"/>
      <c r="S99" s="245"/>
      <c r="T99" s="245"/>
      <c r="U99" s="239">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0.88969999999999994</v>
      </c>
      <c r="V99" s="239"/>
      <c r="W99" s="239"/>
      <c r="X99" s="239"/>
      <c r="Y99" s="133" t="str">
        <f>IF(E99="","",IF((VLOOKUP(E99,classifications!C:K,9,FALSE))="Sparse","S",""))</f>
        <v/>
      </c>
      <c r="AA99" s="249"/>
      <c r="AB99" s="236"/>
      <c r="AC99" s="236"/>
      <c r="AD99" s="234"/>
      <c r="AE99" s="234"/>
      <c r="AF99" s="234"/>
      <c r="AG99" s="234"/>
      <c r="AH99" s="234"/>
      <c r="AI99" s="234"/>
      <c r="AJ99" s="234"/>
      <c r="AK99" s="234"/>
      <c r="AL99" s="234"/>
      <c r="AM99" s="234"/>
      <c r="AN99" s="309"/>
      <c r="AO99" s="309"/>
      <c r="AP99" s="309"/>
      <c r="AQ99" s="309"/>
      <c r="AR99" s="133"/>
      <c r="AV99" s="56"/>
    </row>
    <row r="100" spans="2:48" ht="12" customHeight="1">
      <c r="B100" s="242" t="str">
        <f>IF('Filtered Data'!$D$1="MD","",IF('Filtered Data'!$D$1="SC","",IF('Filtered Data'!$D$1="UA",'Filtered Data'!AS19,'Filtered Data'!AL19)))</f>
        <v/>
      </c>
      <c r="C100" s="243"/>
      <c r="D100" s="243"/>
      <c r="E100" s="245" t="str">
        <f>IF(B100="","",IF('Filtered Data'!$D$1="UA",VLOOKUP(B100,'Filtered Data'!AS:AU,2,FALSE),VLOOKUP(B100,'Filtered Data'!AL:AN,2,FALSE)))</f>
        <v/>
      </c>
      <c r="F100" s="245"/>
      <c r="G100" s="245"/>
      <c r="H100" s="245"/>
      <c r="I100" s="245"/>
      <c r="J100" s="245"/>
      <c r="K100" s="245"/>
      <c r="L100" s="245"/>
      <c r="M100" s="245"/>
      <c r="N100" s="245"/>
      <c r="O100" s="245"/>
      <c r="P100" s="245"/>
      <c r="Q100" s="245"/>
      <c r="R100" s="245"/>
      <c r="S100" s="245"/>
      <c r="T100" s="245"/>
      <c r="U100" s="23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39"/>
      <c r="W100" s="239"/>
      <c r="X100" s="239"/>
      <c r="Y100" s="133" t="str">
        <f>IF(E100="","",IF((VLOOKUP(E100,classifications!C:K,9,FALSE))="Sparse","S",""))</f>
        <v/>
      </c>
      <c r="AA100" s="249"/>
      <c r="AB100" s="236"/>
      <c r="AC100" s="236"/>
      <c r="AD100" s="234"/>
      <c r="AE100" s="234"/>
      <c r="AF100" s="234"/>
      <c r="AG100" s="234"/>
      <c r="AH100" s="234"/>
      <c r="AI100" s="234"/>
      <c r="AJ100" s="234"/>
      <c r="AK100" s="234"/>
      <c r="AL100" s="234"/>
      <c r="AM100" s="234"/>
      <c r="AN100" s="309"/>
      <c r="AO100" s="309"/>
      <c r="AP100" s="309"/>
      <c r="AQ100" s="309"/>
      <c r="AR100" s="133"/>
      <c r="AV100" s="56"/>
    </row>
    <row r="101" spans="2:48" ht="12" customHeight="1">
      <c r="B101" s="242" t="str">
        <f>IF('Filtered Data'!$D$1="MD","",IF('Filtered Data'!$D$1="SC","",IF('Filtered Data'!$D$1="UA",'Filtered Data'!AS20,'Filtered Data'!AL20)))</f>
        <v/>
      </c>
      <c r="C101" s="243"/>
      <c r="D101" s="243"/>
      <c r="E101" s="245" t="str">
        <f>IF(B101="","",IF('Filtered Data'!$D$1="UA",VLOOKUP(B101,'Filtered Data'!AS:AU,2,FALSE),VLOOKUP(B101,'Filtered Data'!AL:AN,2,FALSE)))</f>
        <v/>
      </c>
      <c r="F101" s="245"/>
      <c r="G101" s="245"/>
      <c r="H101" s="245"/>
      <c r="I101" s="245"/>
      <c r="J101" s="245"/>
      <c r="K101" s="245"/>
      <c r="L101" s="245"/>
      <c r="M101" s="245"/>
      <c r="N101" s="245"/>
      <c r="O101" s="245"/>
      <c r="P101" s="245"/>
      <c r="Q101" s="245"/>
      <c r="R101" s="245"/>
      <c r="S101" s="245"/>
      <c r="T101" s="245"/>
      <c r="U101" s="23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39"/>
      <c r="W101" s="239"/>
      <c r="X101" s="239"/>
      <c r="Y101" s="133" t="str">
        <f>IF(E101="","",IF((VLOOKUP(E101,classifications!C:K,9,FALSE))="Sparse","S",""))</f>
        <v/>
      </c>
      <c r="AA101" s="249"/>
      <c r="AB101" s="236"/>
      <c r="AC101" s="236"/>
      <c r="AD101" s="234"/>
      <c r="AE101" s="234"/>
      <c r="AF101" s="234"/>
      <c r="AG101" s="234"/>
      <c r="AH101" s="234"/>
      <c r="AI101" s="234"/>
      <c r="AJ101" s="234"/>
      <c r="AK101" s="234"/>
      <c r="AL101" s="234"/>
      <c r="AM101" s="234"/>
      <c r="AN101" s="309"/>
      <c r="AO101" s="309"/>
      <c r="AP101" s="309"/>
      <c r="AQ101" s="309"/>
      <c r="AR101" s="133"/>
      <c r="AV101" s="56"/>
    </row>
    <row r="102" spans="2:48" ht="12" customHeight="1">
      <c r="B102" s="242" t="str">
        <f>IF('Filtered Data'!$D$1="MD","",IF('Filtered Data'!$D$1="SC","",IF('Filtered Data'!$D$1="UA",'Filtered Data'!AS21,'Filtered Data'!AL21)))</f>
        <v/>
      </c>
      <c r="C102" s="243"/>
      <c r="D102" s="243"/>
      <c r="E102" s="245" t="str">
        <f>IF(B102="","",IF('Filtered Data'!$D$1="UA",VLOOKUP(B102,'Filtered Data'!AS:AU,2,FALSE),VLOOKUP(B102,'Filtered Data'!AL:AN,2,FALSE)))</f>
        <v/>
      </c>
      <c r="F102" s="245"/>
      <c r="G102" s="245"/>
      <c r="H102" s="245"/>
      <c r="I102" s="245"/>
      <c r="J102" s="245"/>
      <c r="K102" s="245"/>
      <c r="L102" s="245"/>
      <c r="M102" s="245"/>
      <c r="N102" s="245"/>
      <c r="O102" s="245"/>
      <c r="P102" s="245"/>
      <c r="Q102" s="245"/>
      <c r="R102" s="245"/>
      <c r="S102" s="245"/>
      <c r="T102" s="245"/>
      <c r="U102" s="23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39"/>
      <c r="W102" s="239"/>
      <c r="X102" s="239"/>
      <c r="Y102" s="133" t="str">
        <f>IF(E102="","",IF((VLOOKUP(E102,classifications!C:K,9,FALSE))="Sparse","S",""))</f>
        <v/>
      </c>
      <c r="AA102" s="249"/>
      <c r="AB102" s="236"/>
      <c r="AC102" s="236"/>
      <c r="AD102" s="234"/>
      <c r="AE102" s="234"/>
      <c r="AF102" s="234"/>
      <c r="AG102" s="234"/>
      <c r="AH102" s="234"/>
      <c r="AI102" s="234"/>
      <c r="AJ102" s="234"/>
      <c r="AK102" s="234"/>
      <c r="AL102" s="234"/>
      <c r="AM102" s="234"/>
      <c r="AN102" s="309"/>
      <c r="AO102" s="309"/>
      <c r="AP102" s="309"/>
      <c r="AQ102" s="309"/>
      <c r="AR102" s="133"/>
      <c r="AV102" s="56"/>
    </row>
    <row r="103" spans="2:48" ht="12" customHeight="1">
      <c r="B103" s="242" t="str">
        <f>IF('Filtered Data'!$D$1="MD","",IF('Filtered Data'!$D$1="SC","",IF('Filtered Data'!$D$1="UA",'Filtered Data'!AS22,'Filtered Data'!AL22)))</f>
        <v/>
      </c>
      <c r="C103" s="243"/>
      <c r="D103" s="243"/>
      <c r="E103" s="245" t="str">
        <f>IF(B103="","",IF('Filtered Data'!$D$1="UA",VLOOKUP(B103,'Filtered Data'!AS:AU,2,FALSE),VLOOKUP(B103,'Filtered Data'!AL:AN,2,FALSE)))</f>
        <v/>
      </c>
      <c r="F103" s="245"/>
      <c r="G103" s="245"/>
      <c r="H103" s="245"/>
      <c r="I103" s="245"/>
      <c r="J103" s="245"/>
      <c r="K103" s="245"/>
      <c r="L103" s="245"/>
      <c r="M103" s="245"/>
      <c r="N103" s="245"/>
      <c r="O103" s="245"/>
      <c r="P103" s="245"/>
      <c r="Q103" s="245"/>
      <c r="R103" s="245"/>
      <c r="S103" s="245"/>
      <c r="T103" s="245"/>
      <c r="U103" s="23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39"/>
      <c r="W103" s="239"/>
      <c r="X103" s="239"/>
      <c r="Y103" s="133" t="str">
        <f>IF(E103="","",IF((VLOOKUP(E103,classifications!C:K,9,FALSE))="Sparse","S",""))</f>
        <v/>
      </c>
      <c r="AA103" s="249"/>
      <c r="AB103" s="236"/>
      <c r="AC103" s="236"/>
      <c r="AD103" s="234"/>
      <c r="AE103" s="234"/>
      <c r="AF103" s="234"/>
      <c r="AG103" s="234"/>
      <c r="AH103" s="234"/>
      <c r="AI103" s="234"/>
      <c r="AJ103" s="234"/>
      <c r="AK103" s="234"/>
      <c r="AL103" s="234"/>
      <c r="AM103" s="234"/>
      <c r="AN103" s="309"/>
      <c r="AO103" s="309"/>
      <c r="AP103" s="309"/>
      <c r="AQ103" s="309"/>
      <c r="AR103" s="133"/>
      <c r="AV103" s="56"/>
    </row>
    <row r="104" spans="2:48" ht="12" customHeight="1">
      <c r="B104" s="242" t="str">
        <f>IF('Filtered Data'!$D$1="MD","",IF('Filtered Data'!$D$1="SC","",IF('Filtered Data'!$D$1="UA",'Filtered Data'!AS23,'Filtered Data'!AL23)))</f>
        <v/>
      </c>
      <c r="C104" s="243"/>
      <c r="D104" s="243"/>
      <c r="E104" s="245" t="str">
        <f>IF(B104="","",IF('Filtered Data'!$D$1="UA",VLOOKUP(B104,'Filtered Data'!AS:AU,2,FALSE),VLOOKUP(B104,'Filtered Data'!AL:AN,2,FALSE)))</f>
        <v/>
      </c>
      <c r="F104" s="245"/>
      <c r="G104" s="245"/>
      <c r="H104" s="245"/>
      <c r="I104" s="245"/>
      <c r="J104" s="245"/>
      <c r="K104" s="245"/>
      <c r="L104" s="245"/>
      <c r="M104" s="245"/>
      <c r="N104" s="245"/>
      <c r="O104" s="245"/>
      <c r="P104" s="245"/>
      <c r="Q104" s="245"/>
      <c r="R104" s="245"/>
      <c r="S104" s="245"/>
      <c r="T104" s="245"/>
      <c r="U104" s="23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39"/>
      <c r="W104" s="239"/>
      <c r="X104" s="239"/>
      <c r="Y104" s="133" t="str">
        <f>IF(E104="","",IF((VLOOKUP(E104,classifications!C:K,9,FALSE))="Sparse","S",""))</f>
        <v/>
      </c>
      <c r="AA104" s="249"/>
      <c r="AB104" s="236"/>
      <c r="AC104" s="236"/>
      <c r="AD104" s="234"/>
      <c r="AE104" s="234"/>
      <c r="AF104" s="234"/>
      <c r="AG104" s="234"/>
      <c r="AH104" s="234"/>
      <c r="AI104" s="234"/>
      <c r="AJ104" s="234"/>
      <c r="AK104" s="234"/>
      <c r="AL104" s="234"/>
      <c r="AM104" s="234"/>
      <c r="AN104" s="309"/>
      <c r="AO104" s="309"/>
      <c r="AP104" s="309"/>
      <c r="AQ104" s="309"/>
      <c r="AR104" s="133"/>
      <c r="AV104" s="56"/>
    </row>
    <row r="105" spans="2:48" ht="12" customHeight="1">
      <c r="B105" s="242" t="str">
        <f>IF('Filtered Data'!$D$1="MD","",IF('Filtered Data'!$D$1="SC","",IF('Filtered Data'!$D$1="UA",'Filtered Data'!AS24,'Filtered Data'!AL24)))</f>
        <v/>
      </c>
      <c r="C105" s="243"/>
      <c r="D105" s="243"/>
      <c r="E105" s="245" t="str">
        <f>IF(B105="","",IF('Filtered Data'!$D$1="UA",VLOOKUP(B105,'Filtered Data'!AS:AU,2,FALSE),VLOOKUP(B105,'Filtered Data'!AL:AN,2,FALSE)))</f>
        <v/>
      </c>
      <c r="F105" s="245"/>
      <c r="G105" s="245"/>
      <c r="H105" s="245"/>
      <c r="I105" s="245"/>
      <c r="J105" s="245"/>
      <c r="K105" s="245"/>
      <c r="L105" s="245"/>
      <c r="M105" s="245"/>
      <c r="N105" s="245"/>
      <c r="O105" s="245"/>
      <c r="P105" s="245"/>
      <c r="Q105" s="245"/>
      <c r="R105" s="245"/>
      <c r="S105" s="245"/>
      <c r="T105" s="245"/>
      <c r="U105" s="23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39"/>
      <c r="W105" s="239"/>
      <c r="X105" s="239"/>
      <c r="Y105" s="133" t="str">
        <f>IF(E105="","",IF((VLOOKUP(E105,classifications!C:K,9,FALSE))="Sparse","S",""))</f>
        <v/>
      </c>
      <c r="AA105" s="249"/>
      <c r="AB105" s="236"/>
      <c r="AC105" s="236"/>
      <c r="AD105" s="234"/>
      <c r="AE105" s="234"/>
      <c r="AF105" s="234"/>
      <c r="AG105" s="234"/>
      <c r="AH105" s="234"/>
      <c r="AI105" s="234"/>
      <c r="AJ105" s="234"/>
      <c r="AK105" s="234"/>
      <c r="AL105" s="234"/>
      <c r="AM105" s="234"/>
      <c r="AN105" s="309"/>
      <c r="AO105" s="309"/>
      <c r="AP105" s="309"/>
      <c r="AQ105" s="309"/>
      <c r="AR105" s="133"/>
      <c r="AV105" s="56"/>
    </row>
    <row r="106" spans="2:48" ht="12" customHeight="1">
      <c r="B106" s="242" t="str">
        <f>IF('Filtered Data'!$D$1="MD","",IF('Filtered Data'!$D$1="SC","",IF('Filtered Data'!$D$1="UA",'Filtered Data'!AS25,'Filtered Data'!AL25)))</f>
        <v/>
      </c>
      <c r="C106" s="243"/>
      <c r="D106" s="243"/>
      <c r="E106" s="245" t="str">
        <f>IF(B106="","",IF('Filtered Data'!$D$1="UA",VLOOKUP(B106,'Filtered Data'!AS:AU,2,FALSE),VLOOKUP(B106,'Filtered Data'!AL:AN,2,FALSE)))</f>
        <v/>
      </c>
      <c r="F106" s="245"/>
      <c r="G106" s="245"/>
      <c r="H106" s="245"/>
      <c r="I106" s="245"/>
      <c r="J106" s="245"/>
      <c r="K106" s="245"/>
      <c r="L106" s="245"/>
      <c r="M106" s="245"/>
      <c r="N106" s="245"/>
      <c r="O106" s="245"/>
      <c r="P106" s="245"/>
      <c r="Q106" s="245"/>
      <c r="R106" s="245"/>
      <c r="S106" s="245"/>
      <c r="T106" s="245"/>
      <c r="U106" s="23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39"/>
      <c r="W106" s="239"/>
      <c r="X106" s="239"/>
      <c r="Y106" s="133" t="str">
        <f>IF(E106="","",IF((VLOOKUP(E106,classifications!C:K,9,FALSE))="Sparse","S",""))</f>
        <v/>
      </c>
      <c r="AA106" s="249"/>
      <c r="AB106" s="236"/>
      <c r="AC106" s="236"/>
      <c r="AD106" s="234"/>
      <c r="AE106" s="234"/>
      <c r="AF106" s="234"/>
      <c r="AG106" s="234"/>
      <c r="AH106" s="234"/>
      <c r="AI106" s="234"/>
      <c r="AJ106" s="234"/>
      <c r="AK106" s="234"/>
      <c r="AL106" s="234"/>
      <c r="AM106" s="234"/>
      <c r="AN106" s="309"/>
      <c r="AO106" s="309"/>
      <c r="AP106" s="309"/>
      <c r="AQ106" s="309"/>
      <c r="AR106" s="133"/>
      <c r="AV106" s="56"/>
    </row>
    <row r="107" spans="2:48" ht="12" customHeight="1">
      <c r="B107" s="242" t="str">
        <f>IF('Filtered Data'!$D$1="MD","",IF('Filtered Data'!$D$1="SC","",IF('Filtered Data'!$D$1="UA",'Filtered Data'!AS26,'Filtered Data'!AL26)))</f>
        <v/>
      </c>
      <c r="C107" s="243"/>
      <c r="D107" s="243"/>
      <c r="E107" s="245" t="str">
        <f>IF(B107="","",IF('Filtered Data'!$D$1="UA",VLOOKUP(B107,'Filtered Data'!AS:AU,2,FALSE),VLOOKUP(B107,'Filtered Data'!AL:AN,2,FALSE)))</f>
        <v/>
      </c>
      <c r="F107" s="245"/>
      <c r="G107" s="245"/>
      <c r="H107" s="245"/>
      <c r="I107" s="245"/>
      <c r="J107" s="245"/>
      <c r="K107" s="245"/>
      <c r="L107" s="245"/>
      <c r="M107" s="245"/>
      <c r="N107" s="245"/>
      <c r="O107" s="245"/>
      <c r="P107" s="245"/>
      <c r="Q107" s="245"/>
      <c r="R107" s="245"/>
      <c r="S107" s="245"/>
      <c r="T107" s="245"/>
      <c r="U107" s="23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39"/>
      <c r="W107" s="239"/>
      <c r="X107" s="239"/>
      <c r="Y107" s="133" t="str">
        <f>IF(E107="","",IF((VLOOKUP(E107,classifications!C:K,9,FALSE))="Sparse","S",""))</f>
        <v/>
      </c>
      <c r="AA107" s="249"/>
      <c r="AB107" s="236"/>
      <c r="AC107" s="236"/>
      <c r="AD107" s="234"/>
      <c r="AE107" s="234"/>
      <c r="AF107" s="234"/>
      <c r="AG107" s="234"/>
      <c r="AH107" s="234"/>
      <c r="AI107" s="234"/>
      <c r="AJ107" s="234"/>
      <c r="AK107" s="234"/>
      <c r="AL107" s="234"/>
      <c r="AM107" s="234"/>
      <c r="AN107" s="309"/>
      <c r="AO107" s="309"/>
      <c r="AP107" s="309"/>
      <c r="AQ107" s="309"/>
      <c r="AR107" s="133"/>
      <c r="AV107" s="56"/>
    </row>
    <row r="108" spans="2:48" ht="12" customHeight="1">
      <c r="B108" s="236"/>
      <c r="C108" s="236"/>
      <c r="D108" s="236"/>
      <c r="E108" s="235" t="str">
        <f>IF('Filtered Data'!D1="MD","",IF('Filtered Data'!D1="SC","","Average"))</f>
        <v>Average</v>
      </c>
      <c r="F108" s="235"/>
      <c r="G108" s="235"/>
      <c r="H108" s="235"/>
      <c r="I108" s="235"/>
      <c r="J108" s="235"/>
      <c r="K108" s="235"/>
      <c r="L108" s="235"/>
      <c r="M108" s="235"/>
      <c r="N108" s="235"/>
      <c r="O108" s="231"/>
      <c r="P108" s="231"/>
      <c r="Q108" s="231"/>
      <c r="R108" s="231"/>
      <c r="S108" s="231"/>
      <c r="T108" s="231"/>
      <c r="U108" s="248">
        <f>L39</f>
        <v>0.95372500000000004</v>
      </c>
      <c r="V108" s="248"/>
      <c r="W108" s="248"/>
      <c r="X108" s="248"/>
      <c r="Y108" s="133"/>
      <c r="AA108" s="236"/>
      <c r="AB108" s="236"/>
      <c r="AC108" s="236"/>
      <c r="AD108" s="1"/>
      <c r="AE108" s="1"/>
      <c r="AF108" s="1"/>
      <c r="AG108" s="1"/>
      <c r="AH108" s="1"/>
      <c r="AI108" s="1"/>
      <c r="AJ108" s="1"/>
      <c r="AK108" s="1"/>
      <c r="AL108" s="1"/>
      <c r="AM108" s="21"/>
      <c r="AN108" s="237"/>
      <c r="AO108" s="237"/>
      <c r="AP108" s="237"/>
      <c r="AQ108" s="237"/>
      <c r="AV108" s="56"/>
    </row>
    <row r="109" spans="2:48" ht="12" customHeight="1">
      <c r="W109" s="18">
        <f>COUNT(AA92:AB107)</f>
        <v>0</v>
      </c>
    </row>
    <row r="110" spans="2:48" ht="19.5" customHeight="1">
      <c r="B110" s="238" t="str">
        <f>B3</f>
        <v>Planning Application Turnaround</v>
      </c>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c r="AA110" s="238"/>
      <c r="AB110" s="238"/>
      <c r="AC110" s="238"/>
      <c r="AD110" s="238"/>
      <c r="AE110" s="238"/>
      <c r="AF110" s="238"/>
      <c r="AG110" s="238"/>
      <c r="AH110" s="238"/>
      <c r="AI110" s="238"/>
      <c r="AJ110" s="238"/>
      <c r="AK110" s="238"/>
      <c r="AL110" s="238"/>
      <c r="AM110" s="238"/>
      <c r="AN110" s="238"/>
    </row>
    <row r="111" spans="2:48" ht="12" customHeight="1"/>
    <row r="112" spans="2:48" ht="12" customHeight="1">
      <c r="B112" s="235" t="s">
        <v>370</v>
      </c>
      <c r="C112" s="235"/>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c r="AA112" s="235"/>
      <c r="AB112" s="235"/>
      <c r="AC112" s="235"/>
      <c r="AD112" s="235"/>
      <c r="AE112" s="235"/>
      <c r="AF112" s="235"/>
      <c r="AG112" s="235"/>
      <c r="AH112" s="235"/>
      <c r="AI112" s="235"/>
      <c r="AJ112" s="235"/>
      <c r="AK112" s="235"/>
      <c r="AL112" s="235"/>
      <c r="AM112" s="235"/>
      <c r="AN112" s="235"/>
    </row>
    <row r="113" spans="2:40" ht="12" customHeight="1"/>
    <row r="114" spans="2:40" ht="12" customHeight="1">
      <c r="B114" s="294" t="str">
        <f>W6&amp;" - "&amp;W12</f>
        <v>Council tax collected by 31 March as a % of amount collectable - 2023-24</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0"/>
    </row>
    <row r="115" spans="2:40" ht="12" customHeight="1">
      <c r="B115" s="297"/>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312">
        <f>IF('Filtered Data'!H8="..",L35,L35*100)</f>
        <v>97.94</v>
      </c>
      <c r="H118" s="312"/>
      <c r="I118" s="312"/>
      <c r="J118" s="312"/>
      <c r="K118" s="312"/>
      <c r="M118" s="236">
        <f>K$48</f>
        <v>97.34</v>
      </c>
      <c r="N118" s="236"/>
      <c r="O118" s="236">
        <f>M$48</f>
        <v>96.32</v>
      </c>
      <c r="P118" s="236"/>
      <c r="Q118" s="236">
        <f>O$48</f>
        <v>94.52</v>
      </c>
      <c r="R118" s="236"/>
      <c r="AN118" s="6"/>
    </row>
    <row r="119" spans="2:40" ht="12" customHeight="1">
      <c r="B119" s="5"/>
      <c r="F119" t="s">
        <v>380</v>
      </c>
      <c r="G119" s="312">
        <f>IF('Filtered Data'!H8="%%",(AVERAGEIF('Filtered Data'!AA$10:AA$333,$F119,'Filtered Data'!M$10:M$333))*100,(AVERAGEIF('Filtered Data'!AA$10:AA$333,$F119,'Filtered Data'!M$10:M$333)))</f>
        <v>96.969999999999985</v>
      </c>
      <c r="H119" s="312"/>
      <c r="I119" s="312"/>
      <c r="J119" s="312"/>
      <c r="K119" s="312"/>
      <c r="M119" s="236">
        <f>K$48</f>
        <v>97.34</v>
      </c>
      <c r="N119" s="236"/>
      <c r="O119" s="236">
        <f>M$48</f>
        <v>96.32</v>
      </c>
      <c r="P119" s="236"/>
      <c r="Q119" s="236">
        <f>O$48</f>
        <v>94.52</v>
      </c>
      <c r="R119" s="236"/>
      <c r="AN119" s="6"/>
    </row>
    <row r="120" spans="2:40" ht="12" customHeight="1">
      <c r="B120" s="5"/>
      <c r="F120" t="s">
        <v>382</v>
      </c>
      <c r="G120" s="312">
        <f>IF('Filtered Data'!H8="%%",(AVERAGEIF('Filtered Data'!AA$10:AA$333,$F120,'Filtered Data'!M$10:M$333))*100,(AVERAGEIF('Filtered Data'!AA$10:AA$333,$F120,'Filtered Data'!M$10:M$333)))</f>
        <v>95.028888888888858</v>
      </c>
      <c r="H120" s="312"/>
      <c r="I120" s="312"/>
      <c r="J120" s="312"/>
      <c r="K120" s="312"/>
      <c r="M120" s="236">
        <f>K$48</f>
        <v>97.34</v>
      </c>
      <c r="N120" s="236"/>
      <c r="O120" s="236">
        <f>M$48</f>
        <v>96.32</v>
      </c>
      <c r="P120" s="236"/>
      <c r="Q120" s="236">
        <f>O$48</f>
        <v>94.52</v>
      </c>
      <c r="R120" s="236"/>
      <c r="AN120" s="6"/>
    </row>
    <row r="121" spans="2:40" ht="12" customHeight="1">
      <c r="B121" s="5"/>
      <c r="F121" t="s">
        <v>892</v>
      </c>
      <c r="G121" s="312">
        <f>IF('Filtered Data'!H8="%%",(AVERAGEIF('Filtered Data'!AA$10:AA$333,$F121,'Filtered Data'!M$10:M$333))*100,(AVERAGEIF('Filtered Data'!AA$10:AA$333,$F121,'Filtered Data'!M$10:M$333)))</f>
        <v>96.532727272727286</v>
      </c>
      <c r="H121" s="312"/>
      <c r="I121" s="312"/>
      <c r="J121" s="312"/>
      <c r="K121" s="312"/>
      <c r="M121" s="236">
        <f>K$48</f>
        <v>97.34</v>
      </c>
      <c r="N121" s="236"/>
      <c r="O121" s="236">
        <f>M$48</f>
        <v>96.32</v>
      </c>
      <c r="P121" s="236"/>
      <c r="Q121" s="236">
        <f>O$48</f>
        <v>94.52</v>
      </c>
      <c r="R121" s="236"/>
      <c r="AN121" s="6"/>
    </row>
    <row r="122" spans="2:40" ht="12" customHeight="1">
      <c r="B122" s="5"/>
      <c r="G122" s="312"/>
      <c r="H122" s="312"/>
      <c r="I122" s="312"/>
      <c r="J122" s="312"/>
      <c r="K122" s="312"/>
      <c r="M122" s="236"/>
      <c r="N122" s="236"/>
      <c r="O122" s="236"/>
      <c r="P122" s="236"/>
      <c r="Q122" s="236"/>
      <c r="R122" s="236"/>
      <c r="AN122" s="6"/>
    </row>
    <row r="123" spans="2:40" ht="12" customHeight="1">
      <c r="B123" s="5"/>
      <c r="G123" s="312"/>
      <c r="H123" s="312"/>
      <c r="I123" s="312"/>
      <c r="J123" s="312"/>
      <c r="K123" s="312"/>
      <c r="M123" s="236"/>
      <c r="N123" s="236"/>
      <c r="O123" s="236"/>
      <c r="P123" s="236"/>
      <c r="Q123" s="236"/>
      <c r="R123" s="236"/>
      <c r="AN123" s="6"/>
    </row>
    <row r="124" spans="2:40" ht="12" customHeight="1">
      <c r="B124" s="5"/>
      <c r="G124" s="312"/>
      <c r="H124" s="312"/>
      <c r="I124" s="312"/>
      <c r="J124" s="312"/>
      <c r="K124" s="312"/>
      <c r="M124" s="236"/>
      <c r="N124" s="236"/>
      <c r="O124" s="236"/>
      <c r="P124" s="236"/>
      <c r="Q124" s="236"/>
      <c r="R124" s="236"/>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313"/>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5"/>
    </row>
    <row r="140" spans="2:40">
      <c r="B140" s="313"/>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5"/>
    </row>
    <row r="141" spans="2:40">
      <c r="B141" s="313"/>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5"/>
    </row>
    <row r="142" spans="2:40">
      <c r="B142" s="313"/>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5"/>
    </row>
    <row r="143" spans="2:40">
      <c r="B143" s="313"/>
      <c r="C143" s="314"/>
      <c r="D143" s="314"/>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c r="AE143" s="314"/>
      <c r="AF143" s="314"/>
      <c r="AG143" s="314"/>
      <c r="AH143" s="314"/>
      <c r="AI143" s="314"/>
      <c r="AJ143" s="314"/>
      <c r="AK143" s="314"/>
      <c r="AL143" s="314"/>
      <c r="AM143" s="314"/>
      <c r="AN143" s="315"/>
    </row>
    <row r="144" spans="2:40">
      <c r="B144" s="313"/>
      <c r="C144" s="314"/>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4"/>
      <c r="AJ144" s="314"/>
      <c r="AK144" s="314"/>
      <c r="AL144" s="314"/>
      <c r="AM144" s="314"/>
      <c r="AN144" s="315"/>
    </row>
    <row r="145" spans="2:40">
      <c r="B145" s="313"/>
      <c r="C145" s="314"/>
      <c r="D145" s="314"/>
      <c r="E145" s="314"/>
      <c r="F145" s="314"/>
      <c r="G145" s="314"/>
      <c r="H145" s="314"/>
      <c r="I145" s="314"/>
      <c r="J145" s="314"/>
      <c r="K145" s="314"/>
      <c r="L145" s="314"/>
      <c r="M145" s="314"/>
      <c r="N145" s="314"/>
      <c r="O145" s="314"/>
      <c r="P145" s="314"/>
      <c r="Q145" s="314"/>
      <c r="R145" s="314"/>
      <c r="S145" s="314"/>
      <c r="T145" s="314"/>
      <c r="U145" s="314"/>
      <c r="V145" s="314"/>
      <c r="W145" s="314"/>
      <c r="X145" s="314"/>
      <c r="Y145" s="314"/>
      <c r="Z145" s="314"/>
      <c r="AA145" s="314"/>
      <c r="AB145" s="314"/>
      <c r="AC145" s="314"/>
      <c r="AD145" s="314"/>
      <c r="AE145" s="314"/>
      <c r="AF145" s="314"/>
      <c r="AG145" s="314"/>
      <c r="AH145" s="314"/>
      <c r="AI145" s="314"/>
      <c r="AJ145" s="314"/>
      <c r="AK145" s="314"/>
      <c r="AL145" s="314"/>
      <c r="AM145" s="314"/>
      <c r="AN145" s="315"/>
    </row>
    <row r="146" spans="2:40">
      <c r="B146" s="313"/>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c r="AA146" s="314"/>
      <c r="AB146" s="314"/>
      <c r="AC146" s="314"/>
      <c r="AD146" s="314"/>
      <c r="AE146" s="314"/>
      <c r="AF146" s="314"/>
      <c r="AG146" s="314"/>
      <c r="AH146" s="314"/>
      <c r="AI146" s="314"/>
      <c r="AJ146" s="314"/>
      <c r="AK146" s="314"/>
      <c r="AL146" s="314"/>
      <c r="AM146" s="314"/>
      <c r="AN146" s="315"/>
    </row>
    <row r="147" spans="2:40">
      <c r="B147" s="313"/>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5"/>
    </row>
    <row r="148" spans="2:40">
      <c r="B148" s="313"/>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c r="AA148" s="314"/>
      <c r="AB148" s="314"/>
      <c r="AC148" s="314"/>
      <c r="AD148" s="314"/>
      <c r="AE148" s="314"/>
      <c r="AF148" s="314"/>
      <c r="AG148" s="314"/>
      <c r="AH148" s="314"/>
      <c r="AI148" s="314"/>
      <c r="AJ148" s="314"/>
      <c r="AK148" s="314"/>
      <c r="AL148" s="314"/>
      <c r="AM148" s="314"/>
      <c r="AN148" s="315"/>
    </row>
    <row r="149" spans="2:40">
      <c r="B149" s="313"/>
      <c r="C149" s="314"/>
      <c r="D149" s="314"/>
      <c r="E149" s="314"/>
      <c r="F149" s="314"/>
      <c r="G149" s="314"/>
      <c r="H149" s="314"/>
      <c r="I149" s="314"/>
      <c r="J149" s="314"/>
      <c r="K149" s="314"/>
      <c r="L149" s="314"/>
      <c r="M149" s="314"/>
      <c r="N149" s="314"/>
      <c r="O149" s="314"/>
      <c r="P149" s="314"/>
      <c r="Q149" s="314"/>
      <c r="R149" s="314"/>
      <c r="S149" s="314"/>
      <c r="T149" s="314"/>
      <c r="U149" s="314"/>
      <c r="V149" s="314"/>
      <c r="W149" s="314"/>
      <c r="X149" s="314"/>
      <c r="Y149" s="314"/>
      <c r="Z149" s="314"/>
      <c r="AA149" s="314"/>
      <c r="AB149" s="314"/>
      <c r="AC149" s="314"/>
      <c r="AD149" s="314"/>
      <c r="AE149" s="314"/>
      <c r="AF149" s="314"/>
      <c r="AG149" s="314"/>
      <c r="AH149" s="314"/>
      <c r="AI149" s="314"/>
      <c r="AJ149" s="314"/>
      <c r="AK149" s="314"/>
      <c r="AL149" s="314"/>
      <c r="AM149" s="314"/>
      <c r="AN149" s="315"/>
    </row>
    <row r="150" spans="2:40">
      <c r="B150" s="313"/>
      <c r="C150" s="314"/>
      <c r="D150" s="314"/>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c r="AA150" s="314"/>
      <c r="AB150" s="314"/>
      <c r="AC150" s="314"/>
      <c r="AD150" s="314"/>
      <c r="AE150" s="314"/>
      <c r="AF150" s="314"/>
      <c r="AG150" s="314"/>
      <c r="AH150" s="314"/>
      <c r="AI150" s="314"/>
      <c r="AJ150" s="314"/>
      <c r="AK150" s="314"/>
      <c r="AL150" s="314"/>
      <c r="AM150" s="314"/>
      <c r="AN150" s="315"/>
    </row>
    <row r="151" spans="2:40">
      <c r="B151" s="313"/>
      <c r="C151" s="314"/>
      <c r="D151" s="314"/>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H151" s="314"/>
      <c r="AI151" s="314"/>
      <c r="AJ151" s="314"/>
      <c r="AK151" s="314"/>
      <c r="AL151" s="314"/>
      <c r="AM151" s="314"/>
      <c r="AN151" s="315"/>
    </row>
    <row r="152" spans="2:40">
      <c r="B152" s="313"/>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5"/>
    </row>
    <row r="153" spans="2:40">
      <c r="B153" s="313"/>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5"/>
    </row>
    <row r="154" spans="2:40">
      <c r="B154" s="313"/>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5"/>
    </row>
    <row r="155" spans="2:40">
      <c r="B155" s="313"/>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4"/>
      <c r="AJ155" s="314"/>
      <c r="AK155" s="314"/>
      <c r="AL155" s="314"/>
      <c r="AM155" s="314"/>
      <c r="AN155" s="315"/>
    </row>
    <row r="156" spans="2:40">
      <c r="B156" s="313"/>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4"/>
      <c r="AJ156" s="314"/>
      <c r="AK156" s="314"/>
      <c r="AL156" s="314"/>
      <c r="AM156" s="314"/>
      <c r="AN156" s="315"/>
    </row>
    <row r="157" spans="2:40">
      <c r="B157" s="313"/>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314"/>
      <c r="AI157" s="314"/>
      <c r="AJ157" s="314"/>
      <c r="AK157" s="314"/>
      <c r="AL157" s="314"/>
      <c r="AM157" s="314"/>
      <c r="AN157" s="315"/>
    </row>
    <row r="158" spans="2:40">
      <c r="B158" s="313"/>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4"/>
      <c r="AJ158" s="314"/>
      <c r="AK158" s="314"/>
      <c r="AL158" s="314"/>
      <c r="AM158" s="314"/>
      <c r="AN158" s="315"/>
    </row>
    <row r="159" spans="2:40">
      <c r="B159" s="313"/>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5"/>
    </row>
    <row r="160" spans="2:40">
      <c r="B160" s="313"/>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5"/>
    </row>
    <row r="161" spans="2:40">
      <c r="B161" s="313"/>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4"/>
      <c r="AI161" s="314"/>
      <c r="AJ161" s="314"/>
      <c r="AK161" s="314"/>
      <c r="AL161" s="314"/>
      <c r="AM161" s="314"/>
      <c r="AN161" s="315"/>
    </row>
    <row r="162" spans="2:40">
      <c r="B162" s="313"/>
      <c r="C162" s="314"/>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c r="AA162" s="314"/>
      <c r="AB162" s="314"/>
      <c r="AC162" s="314"/>
      <c r="AD162" s="314"/>
      <c r="AE162" s="314"/>
      <c r="AF162" s="314"/>
      <c r="AG162" s="314"/>
      <c r="AH162" s="314"/>
      <c r="AI162" s="314"/>
      <c r="AJ162" s="314"/>
      <c r="AK162" s="314"/>
      <c r="AL162" s="314"/>
      <c r="AM162" s="314"/>
      <c r="AN162" s="315"/>
    </row>
    <row r="163" spans="2:40">
      <c r="B163" s="313"/>
      <c r="C163" s="314"/>
      <c r="D163" s="314"/>
      <c r="E163" s="314"/>
      <c r="F163" s="314"/>
      <c r="G163" s="314"/>
      <c r="H163" s="314"/>
      <c r="I163" s="314"/>
      <c r="J163" s="314"/>
      <c r="K163" s="314"/>
      <c r="L163" s="314"/>
      <c r="M163" s="314"/>
      <c r="N163" s="314"/>
      <c r="O163" s="314"/>
      <c r="P163" s="314"/>
      <c r="Q163" s="314"/>
      <c r="R163" s="314"/>
      <c r="S163" s="314"/>
      <c r="T163" s="314"/>
      <c r="U163" s="314"/>
      <c r="V163" s="314"/>
      <c r="W163" s="314"/>
      <c r="X163" s="314"/>
      <c r="Y163" s="314"/>
      <c r="Z163" s="314"/>
      <c r="AA163" s="314"/>
      <c r="AB163" s="314"/>
      <c r="AC163" s="314"/>
      <c r="AD163" s="314"/>
      <c r="AE163" s="314"/>
      <c r="AF163" s="314"/>
      <c r="AG163" s="314"/>
      <c r="AH163" s="314"/>
      <c r="AI163" s="314"/>
      <c r="AJ163" s="314"/>
      <c r="AK163" s="314"/>
      <c r="AL163" s="314"/>
      <c r="AM163" s="314"/>
      <c r="AN163" s="315"/>
    </row>
    <row r="164" spans="2:40">
      <c r="B164" s="313"/>
      <c r="C164" s="314"/>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c r="AA164" s="314"/>
      <c r="AB164" s="314"/>
      <c r="AC164" s="314"/>
      <c r="AD164" s="314"/>
      <c r="AE164" s="314"/>
      <c r="AF164" s="314"/>
      <c r="AG164" s="314"/>
      <c r="AH164" s="314"/>
      <c r="AI164" s="314"/>
      <c r="AJ164" s="314"/>
      <c r="AK164" s="314"/>
      <c r="AL164" s="314"/>
      <c r="AM164" s="314"/>
      <c r="AN164" s="315"/>
    </row>
    <row r="165" spans="2:40">
      <c r="B165" s="313"/>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5"/>
    </row>
    <row r="166" spans="2:40">
      <c r="B166" s="313"/>
      <c r="C166" s="314"/>
      <c r="D166" s="314"/>
      <c r="E166" s="314"/>
      <c r="F166" s="314"/>
      <c r="G166" s="314"/>
      <c r="H166" s="314"/>
      <c r="I166" s="314"/>
      <c r="J166" s="314"/>
      <c r="K166" s="314"/>
      <c r="L166" s="314"/>
      <c r="M166" s="314"/>
      <c r="N166" s="314"/>
      <c r="O166" s="314"/>
      <c r="P166" s="314"/>
      <c r="Q166" s="314"/>
      <c r="R166" s="314"/>
      <c r="S166" s="314"/>
      <c r="T166" s="314"/>
      <c r="U166" s="314"/>
      <c r="V166" s="314"/>
      <c r="W166" s="314"/>
      <c r="X166" s="314"/>
      <c r="Y166" s="314"/>
      <c r="Z166" s="314"/>
      <c r="AA166" s="314"/>
      <c r="AB166" s="314"/>
      <c r="AC166" s="314"/>
      <c r="AD166" s="314"/>
      <c r="AE166" s="314"/>
      <c r="AF166" s="314"/>
      <c r="AG166" s="314"/>
      <c r="AH166" s="314"/>
      <c r="AI166" s="314"/>
      <c r="AJ166" s="314"/>
      <c r="AK166" s="314"/>
      <c r="AL166" s="314"/>
      <c r="AM166" s="314"/>
      <c r="AN166" s="315"/>
    </row>
    <row r="167" spans="2:40">
      <c r="B167" s="313"/>
      <c r="C167" s="314"/>
      <c r="D167" s="314"/>
      <c r="E167" s="314"/>
      <c r="F167" s="314"/>
      <c r="G167" s="314"/>
      <c r="H167" s="314"/>
      <c r="I167" s="314"/>
      <c r="J167" s="314"/>
      <c r="K167" s="314"/>
      <c r="L167" s="314"/>
      <c r="M167" s="314"/>
      <c r="N167" s="314"/>
      <c r="O167" s="314"/>
      <c r="P167" s="314"/>
      <c r="Q167" s="314"/>
      <c r="R167" s="314"/>
      <c r="S167" s="314"/>
      <c r="T167" s="314"/>
      <c r="U167" s="314"/>
      <c r="V167" s="314"/>
      <c r="W167" s="314"/>
      <c r="X167" s="314"/>
      <c r="Y167" s="314"/>
      <c r="Z167" s="314"/>
      <c r="AA167" s="314"/>
      <c r="AB167" s="314"/>
      <c r="AC167" s="314"/>
      <c r="AD167" s="314"/>
      <c r="AE167" s="314"/>
      <c r="AF167" s="314"/>
      <c r="AG167" s="314"/>
      <c r="AH167" s="314"/>
      <c r="AI167" s="314"/>
      <c r="AJ167" s="314"/>
      <c r="AK167" s="314"/>
      <c r="AL167" s="314"/>
      <c r="AM167" s="314"/>
      <c r="AN167" s="315"/>
    </row>
    <row r="168" spans="2:40" ht="13.8" thickBot="1">
      <c r="B168" s="316"/>
      <c r="C168" s="317"/>
      <c r="D168" s="317"/>
      <c r="E168" s="317"/>
      <c r="F168" s="317"/>
      <c r="G168" s="317"/>
      <c r="H168" s="317"/>
      <c r="I168" s="317"/>
      <c r="J168" s="317"/>
      <c r="K168" s="317"/>
      <c r="L168" s="317"/>
      <c r="M168" s="317"/>
      <c r="N168" s="317"/>
      <c r="O168" s="317"/>
      <c r="P168" s="317"/>
      <c r="Q168" s="317"/>
      <c r="R168" s="317"/>
      <c r="S168" s="317"/>
      <c r="T168" s="317"/>
      <c r="U168" s="317"/>
      <c r="V168" s="317"/>
      <c r="W168" s="317"/>
      <c r="X168" s="317"/>
      <c r="Y168" s="317"/>
      <c r="Z168" s="317"/>
      <c r="AA168" s="317"/>
      <c r="AB168" s="317"/>
      <c r="AC168" s="317"/>
      <c r="AD168" s="317"/>
      <c r="AE168" s="317"/>
      <c r="AF168" s="317"/>
      <c r="AG168" s="317"/>
      <c r="AH168" s="317"/>
      <c r="AI168" s="317"/>
      <c r="AJ168" s="317"/>
      <c r="AK168" s="317"/>
      <c r="AL168" s="317"/>
      <c r="AM168" s="317"/>
      <c r="AN168" s="318"/>
    </row>
    <row r="169" spans="2:40"/>
  </sheetData>
  <sheetProtection algorithmName="SHA-512" hashValue="y5nng3kHoA7WTho1M6ohdfxrh+RwlxLxgwGX683uFgLJHNIYH7VQ0J79dZ3mJN9R5G0VHCVVYpDs1SzQ5fXM8A==" saltValue="myGUHwOFN/SIi12m3CdxIw=="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3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Y51" sqref="Y5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1" t="s">
        <v>824</v>
      </c>
      <c r="U1" s="322"/>
      <c r="V1" s="322"/>
      <c r="W1" s="323"/>
      <c r="X1" s="57"/>
      <c r="AA1" s="321" t="s">
        <v>823</v>
      </c>
      <c r="AB1" s="322"/>
      <c r="AC1" s="322"/>
      <c r="AD1" s="323"/>
      <c r="AE1" s="59"/>
      <c r="AI1" s="57"/>
      <c r="AP1" s="57"/>
      <c r="AQ1" s="68"/>
      <c r="AW1" s="74"/>
      <c r="AY1" s="123"/>
    </row>
    <row r="2" spans="1:735" s="34" customFormat="1">
      <c r="A2" s="52"/>
      <c r="B2" s="52"/>
      <c r="H2" s="70"/>
      <c r="I2" s="70"/>
      <c r="K2" s="57"/>
      <c r="L2" s="34" t="s">
        <v>384</v>
      </c>
      <c r="M2" s="82" t="s">
        <v>412</v>
      </c>
      <c r="N2" s="82" t="s">
        <v>418</v>
      </c>
      <c r="O2" s="82"/>
      <c r="P2" s="83"/>
      <c r="Q2" s="83"/>
      <c r="R2" s="83"/>
      <c r="S2" s="58"/>
      <c r="T2" s="321"/>
      <c r="U2" s="322"/>
      <c r="V2" s="322"/>
      <c r="W2" s="323"/>
      <c r="X2" s="319"/>
      <c r="Y2" s="320"/>
      <c r="Z2" s="320"/>
      <c r="AA2" s="321"/>
      <c r="AB2" s="322"/>
      <c r="AC2" s="322"/>
      <c r="AD2" s="323"/>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Council tax collected by 31 March as a % of amount collectable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2023-24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99.26</v>
      </c>
      <c r="Q7" s="101">
        <f>IF(I8="A",MAX(N11:N333),MIN(N11:N333))</f>
        <v>88.97</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Cheshire East</v>
      </c>
      <c r="Q8" s="102">
        <f>VLOOKUP(D3,L11:N333,3,FALSE)</f>
        <v>97.94</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0.95765322580645174</v>
      </c>
      <c r="N9" s="81"/>
      <c r="O9" s="84" t="s">
        <v>340</v>
      </c>
      <c r="P9" s="84" t="s">
        <v>351</v>
      </c>
      <c r="Q9" s="84" t="s">
        <v>352</v>
      </c>
      <c r="R9" s="86" t="s">
        <v>399</v>
      </c>
      <c r="S9" s="36"/>
      <c r="T9" s="168" t="s">
        <v>819</v>
      </c>
      <c r="U9" s="169">
        <f>IF($H$8="%.",(AVERAGE(U11:U333))/100,(AVERAGE(U11:U333)))</f>
        <v>0.9687066666666666</v>
      </c>
      <c r="V9" s="170"/>
      <c r="W9" s="170"/>
      <c r="X9" s="79" t="str">
        <f>"Lower Level Ranking for Authorites in "&amp;H3&amp;" &amp; are a "&amp;F3</f>
        <v>Lower Level Ranking for Authorites in Urban with Significant Rural &amp; are a UA</v>
      </c>
      <c r="Y9" s="81">
        <f>IF($H$8="%.",(AVERAGE(Y11:Y333))/100,(AVERAGE(Y11:Y333)))</f>
        <v>0.96816666666666662</v>
      </c>
      <c r="Z9" s="80"/>
      <c r="AA9" s="175" t="s">
        <v>378</v>
      </c>
      <c r="AB9" s="169">
        <f>IF($H$8="%.",(AVERAGE(AB11:AB333))/100,(AVERAGE(AB11:AB333)))</f>
        <v>0.96532727272727281</v>
      </c>
      <c r="AC9" s="176"/>
      <c r="AD9" s="176"/>
      <c r="AE9" s="37" t="s">
        <v>408</v>
      </c>
      <c r="AG9" s="81">
        <f>IF($H$8="%.",(AVERAGE(AG11:AG333))/100,(AVERAGE(AG11:AG333)))</f>
        <v>0.96983028391166826</v>
      </c>
      <c r="AI9" s="79" t="str">
        <f>"County Ranking &amp; Top Authorites in "&amp;I3&amp;" &amp; are a "&amp;F3</f>
        <v>County Ranking &amp; Top Authorites in Unitary &amp; are a UA</v>
      </c>
      <c r="AJ9" s="81">
        <f>IF($H$8="%.",(AVERAGE(AJ11:AJ333))/100,(AVERAGE(AJ11:AJ333)))</f>
        <v>0.95765322580645174</v>
      </c>
      <c r="AK9" s="80"/>
      <c r="AL9" s="44"/>
      <c r="AM9"/>
      <c r="AN9"/>
      <c r="AP9" s="79" t="str">
        <f>"Regional Ranking in for "&amp;F3</f>
        <v>Regional Ranking in for UA</v>
      </c>
      <c r="AQ9" s="81">
        <f>IF($H$8="%.",(AVERAGE(AQ11:AQ333))/100,(AVERAGE(AQ11:AQ333)))</f>
        <v>0.95372500000000004</v>
      </c>
      <c r="AR9" s="80"/>
      <c r="AS9" s="80"/>
      <c r="AT9" s="80"/>
      <c r="AU9" s="80"/>
      <c r="AV9"/>
      <c r="AW9" s="74"/>
      <c r="AX9" s="129" t="str">
        <f>Profile!$W$6</f>
        <v>Council tax collected by 31 March as a % of amount collectable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97.34</v>
      </c>
      <c r="P10" s="88">
        <f>QUARTILE(N:N,2)</f>
        <v>96.32</v>
      </c>
      <c r="Q10" s="88">
        <f>IF(I8="A",QUARTILE(N:N,3),QUARTILE(N:N,1))</f>
        <v>94.52</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2023-24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96.89</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Wokingham</v>
      </c>
      <c r="M11" s="109">
        <f t="shared" ref="M11:M74" si="3">IF(L11="","",IF(VLOOKUP(L11,C:D,2,FALSE)=$F$3,VLOOKUP(L11,C:H,6,FALSE),""))</f>
        <v>99.26</v>
      </c>
      <c r="N11" s="104">
        <f>IF(L11="","",IF($H$8="%%",M11*100,M11))</f>
        <v>99.26</v>
      </c>
      <c r="O11" s="89">
        <f>IF(I$8="A",IF(N11&gt;=$P$7,IF(N11&lt;=$O$10,N11,""),""),IF(N11&lt;=$P$7,IF(N11&gt;=$O$10,N11,""),""))</f>
        <v>99.26</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f>IF(I$8="A",(RANK(AG11,AG$11:AG$333,1)+COUNTIF(AG$11:AG11,AG11)-1),(RANK(AG11,AG$11:AG$333)+COUNTIF(AG$11:AG11,AG11)-1))</f>
        <v>1</v>
      </c>
      <c r="AF11" s="43" t="str">
        <f>'Filtered Data'!D3</f>
        <v>Cheshire East</v>
      </c>
      <c r="AG11" s="99">
        <f>VLOOKUP(Profile!$J$5,$C$11:$H$333,4,FALSE)</f>
        <v>97.94</v>
      </c>
      <c r="AH11" s="46">
        <f>AE11</f>
        <v>1</v>
      </c>
      <c r="AI11" s="5" t="str">
        <f>IF(L11="","",VLOOKUP($L11,classifications!$C:$J,8,FALSE))</f>
        <v>Unitary</v>
      </c>
      <c r="AJ11" s="42">
        <f t="shared" ref="AJ11:AJ12" si="5">IF(AI11=$I$3,M11,"")</f>
        <v>99.26</v>
      </c>
      <c r="AK11" s="39">
        <f>IF(AJ11="","",IF(I$8="A",(RANK(AJ11,AJ$11:AJ$333,1)+COUNTIF(AJ$11:AJ11,AJ11)-1),(RANK(AJ11,AJ$11:AJ$333)+COUNTIF(AJ$11:AJ11,AJ11)-1)))</f>
        <v>1</v>
      </c>
      <c r="AL11" s="39">
        <v>1</v>
      </c>
      <c r="AM11" t="str">
        <f t="shared" ref="AM11:AM74" si="6">IF(ISNA(IF(AL11="","",INDEX(L$11:L$333,MATCH(AL11,AK$11:AK$333,0)))),"",(IF(AL11="","",INDEX(L$11:L$333,MATCH(AL11,AK$11:AK$333,0)))))</f>
        <v>Wokingham</v>
      </c>
      <c r="AN11">
        <f t="shared" ref="AN11:AN74" si="7">(VLOOKUP(AM11,L:M,2,FALSE))</f>
        <v>99.26</v>
      </c>
      <c r="AP11" s="5" t="str">
        <f>IF(L11="","",VLOOKUP($L11,classifications!$C:$E,3,FALSE))</f>
        <v>South East</v>
      </c>
      <c r="AQ11" s="42" t="str">
        <f>IF(AP11=$G$3,$M11,"")</f>
        <v/>
      </c>
      <c r="AR11" s="39" t="str">
        <f>IF(AQ11="","",IF(I$8="A",(RANK(AQ11,AQ$11:AQ$333,1)+COUNTIF(AQ$11:AQ11,AQ11)-1),(RANK(AQ11,AQ$11:AQ$333)+COUNTIF(AQ$11:AQ11,AQ11)-1)))</f>
        <v/>
      </c>
      <c r="AS11" s="39">
        <v>1</v>
      </c>
      <c r="AT11" s="39" t="str">
        <f t="shared" ref="AT11:AT74" si="8">IF(AS11="","",INDEX(L$11:L$333,MATCH(AS11,AR$11:AR$333,0)))</f>
        <v>Cheshire East</v>
      </c>
      <c r="AU11" s="42">
        <f t="shared" ref="AU11:AU74" si="9">IF(AT11="","",VLOOKUP(AT11,L:M,2,FALSE))</f>
        <v>97.94</v>
      </c>
      <c r="AX11">
        <f>HLOOKUP($AX$9&amp;$AX$10,Data!$A$1:$ZT$1975,(MATCH($C11,Data!$A$1:$A$1975,0)),FALSE)</f>
        <v>96.89</v>
      </c>
    </row>
    <row r="12" spans="1:735">
      <c r="A12" s="55" t="str">
        <f>$D$1&amp;2</f>
        <v>UA2</v>
      </c>
      <c r="B12" s="56" t="str">
        <f>IF(ISERROR(VLOOKUP(A12,classifications!A:C,3,FALSE)),0,VLOOKUP(A12,classifications!A:C,3,FALSE))</f>
        <v>Cornwall</v>
      </c>
      <c r="C12" t="s">
        <v>899</v>
      </c>
      <c r="D12" t="str">
        <f>VLOOKUP($C12,classifications!$C:$J,4,FALSE)</f>
        <v>UA</v>
      </c>
      <c r="E12" t="str">
        <f>VLOOKUP(C12,classifications!C:K,9,FALSE)</f>
        <v>Sparse</v>
      </c>
      <c r="F12">
        <f t="shared" si="0"/>
        <v>96.26</v>
      </c>
      <c r="G12" s="15"/>
      <c r="H12" s="41">
        <f t="shared" si="1"/>
        <v>96.26</v>
      </c>
      <c r="I12" s="73">
        <f>IF(H12="","",IF($I$8="A",(RANK(H12,H$11:H$333,1)+COUNTIF(H$11:H12,H12)-1),(RANK(H12,H$11:H$333)+COUNTIF(H$11:H12,H12)-1)))</f>
        <v>33</v>
      </c>
      <c r="J12" s="40"/>
      <c r="K12" s="35">
        <f t="shared" ref="K12:K75" si="10">IF(K11="","",IF(K11+1&gt;(COUNT(H$11:H$333)),"",K11+1))</f>
        <v>2</v>
      </c>
      <c r="L12" t="str">
        <f t="shared" si="2"/>
        <v>Buckinghamshire</v>
      </c>
      <c r="M12" s="109">
        <f t="shared" si="3"/>
        <v>98.46</v>
      </c>
      <c r="N12" s="104">
        <f>IF(L12="","",IF($H$8="%%",M12*100,M12))</f>
        <v>98.46</v>
      </c>
      <c r="O12" s="89">
        <f t="shared" ref="O12" si="11">IF(I$8="A",IF(N12&gt;=$P$7,IF(N12&lt;=$O$10,N12,""),""),IF(N12&lt;=$P$7,IF(N12&gt;=$O$10,N12,""),""))</f>
        <v>98.46</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Urban with Significant Rural</v>
      </c>
      <c r="Y12">
        <f t="shared" si="4"/>
        <v>98.46</v>
      </c>
      <c r="Z12" s="39">
        <f>IF(Y12="","",IF(I$8="A",(RANK(Y12,Y$11:Y$333,1)+COUNTIF(Y$11:Y12,Y12)-1),(RANK(Y12,Y$11:Y$333)+COUNTIF(Y$11:Y12,Y12)-1)))</f>
        <v>1</v>
      </c>
      <c r="AA12" s="177" t="str">
        <f>IF(L12="","",VLOOKUP($L12,classifications!C:I,7,FALSE))</f>
        <v>Urban with Significant Rural</v>
      </c>
      <c r="AB12" s="173">
        <f t="shared" ref="AB12" si="14">IF(AA12=$J$3,M12,"")</f>
        <v>98.46</v>
      </c>
      <c r="AC12" s="173">
        <f>IF(AB12="","",IF($I$8="A",(RANK(AB12,AB$11:AB$333)+COUNTIF(AB$11:AB12,AB12)-1),(RANK(AB12,AB$11:AB$333,1)+COUNTIF(AB$11:AB12,AB12)-1)))</f>
        <v>11</v>
      </c>
      <c r="AD12" s="173"/>
      <c r="AE12" s="45">
        <f>IF(I$8="A",(RANK(AG12,AG$11:AG$333,1)+COUNTIF(AG$11:AG12,AG12)-1),(RANK(AG12,AG$11:AG$333)+COUNTIF(AG$11:AG12,AG12)-1))</f>
        <v>2</v>
      </c>
      <c r="AF12" t="str">
        <f>VLOOKUP(Profile!$J$5,Families!$C:$R,2,FALSE)</f>
        <v>Cheshire West &amp; Chester</v>
      </c>
      <c r="AG12" s="15">
        <f t="shared" ref="AG12:AG75" si="15">VLOOKUP(AF12,$C$11:$H$333,4,FALSE)</f>
        <v>96.98</v>
      </c>
      <c r="AH12" s="46">
        <f>AE12</f>
        <v>2</v>
      </c>
      <c r="AI12" s="5" t="str">
        <f>IF(L12="","",VLOOKUP($L12,classifications!$C:$J,8,FALSE))</f>
        <v>Unitary</v>
      </c>
      <c r="AJ12" s="42">
        <f t="shared" si="5"/>
        <v>98.46</v>
      </c>
      <c r="AK12" s="39">
        <f>IF(AJ12="","",IF(I$8="A",(RANK(AJ12,AJ$11:AJ$333,1)+COUNTIF(AJ$11:AJ12,AJ12)-1),(RANK(AJ12,AJ$11:AJ$333)+COUNTIF(AJ$11:AJ12,AJ12)-1)))</f>
        <v>2</v>
      </c>
      <c r="AL12" s="3">
        <f t="shared" ref="AL12:AL75" si="16">IF(AL11="","",IF(AL11+1&gt;(COUNT(AJ$11:AJ$333)),"",AL11+1))</f>
        <v>2</v>
      </c>
      <c r="AM12" t="str">
        <f t="shared" si="6"/>
        <v>Buckinghamshire</v>
      </c>
      <c r="AN12">
        <f t="shared" si="7"/>
        <v>98.46</v>
      </c>
      <c r="AP12" s="5" t="str">
        <f>IF(L12="","",VLOOKUP($L12,classifications!$C:$E,3,FALSE))</f>
        <v>South East</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Westmorland &amp; Furness</v>
      </c>
      <c r="AU12" s="42">
        <f t="shared" si="9"/>
        <v>97.38</v>
      </c>
      <c r="AX12">
        <f>HLOOKUP($AX$9&amp;$AX$10,Data!$A$1:$ZT$1975,(MATCH($C12,Data!$A$1:$A$1975,0)),FALSE)</f>
        <v>96.26</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98.57</v>
      </c>
      <c r="G13" s="15"/>
      <c r="H13" s="41" t="str">
        <f t="shared" si="1"/>
        <v/>
      </c>
      <c r="I13" s="73" t="str">
        <f>IF(H13="","",IF($I$8="A",(RANK(H13,H$11:H$333,1)+COUNTIF(H$11:H13,H13)-1),(RANK(H13,H$11:H$333)+COUNTIF(H$11:H13,H13)-1)))</f>
        <v/>
      </c>
      <c r="J13" s="40"/>
      <c r="K13" s="35">
        <f t="shared" si="10"/>
        <v>3</v>
      </c>
      <c r="L13" t="str">
        <f t="shared" si="2"/>
        <v>Thurrock</v>
      </c>
      <c r="M13" s="109">
        <f t="shared" si="3"/>
        <v>98.24</v>
      </c>
      <c r="N13" s="104">
        <f t="shared" ref="N13:N57" si="19">IF(L13="","",IF($H$8="%%",M13*100,M13))</f>
        <v>98.24</v>
      </c>
      <c r="O13" s="89">
        <f t="shared" ref="O13:O57" si="20">IF(I$8="A",IF(N13&gt;=$P$7,IF(N13&lt;=$O$10,N13,""),""),IF(N13&lt;=$P$7,IF(N13&gt;=$O$10,N13,""),""))</f>
        <v>98.24</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3</v>
      </c>
      <c r="AF13" t="str">
        <f>VLOOKUP(Profile!$J$5,Families!$C:$R,2,FALSE)</f>
        <v>Cheshire West &amp; Chester</v>
      </c>
      <c r="AG13" s="15">
        <f t="shared" si="15"/>
        <v>96.98</v>
      </c>
      <c r="AH13" s="46">
        <f t="shared" ref="AH13:AH57" si="28">AE13</f>
        <v>3</v>
      </c>
      <c r="AI13" s="5" t="str">
        <f>IF(L13="","",VLOOKUP($L13,classifications!$C:$J,8,FALSE))</f>
        <v>Unitary</v>
      </c>
      <c r="AJ13" s="42">
        <f t="shared" ref="AJ13:AJ57" si="29">IF(AI13=$I$3,M13,"")</f>
        <v>98.24</v>
      </c>
      <c r="AK13" s="39">
        <f>IF(AJ13="","",IF(I$8="A",(RANK(AJ13,AJ$11:AJ$333,1)+COUNTIF(AJ$11:AJ13,AJ13)-1),(RANK(AJ13,AJ$11:AJ$333)+COUNTIF(AJ$11:AJ13,AJ13)-1)))</f>
        <v>3</v>
      </c>
      <c r="AL13" s="3">
        <f t="shared" si="16"/>
        <v>3</v>
      </c>
      <c r="AM13" t="str">
        <f t="shared" si="6"/>
        <v>Thurrock</v>
      </c>
      <c r="AN13">
        <f t="shared" si="7"/>
        <v>98.24</v>
      </c>
      <c r="AP13" s="5" t="str">
        <f>IF(L13="","",VLOOKUP($L13,classifications!$C:$E,3,FALSE))</f>
        <v>East of England</v>
      </c>
      <c r="AQ13" s="42" t="str">
        <f t="shared" ref="AQ13:AQ57" si="30">IF(AP13=$G$3,$M13,"")</f>
        <v/>
      </c>
      <c r="AR13" s="39" t="str">
        <f>IF(AQ13="","",IF(I$8="A",(RANK(AQ13,AQ$11:AQ$333,1)+COUNTIF(AQ$11:AQ13,AQ13)-1),(RANK(AQ13,AQ$11:AQ$333)+COUNTIF(AQ$11:AQ13,AQ13)-1)))</f>
        <v/>
      </c>
      <c r="AS13" s="3">
        <f t="shared" si="18"/>
        <v>3</v>
      </c>
      <c r="AT13" s="39" t="str">
        <f t="shared" si="8"/>
        <v>Cheshire West &amp; Chester</v>
      </c>
      <c r="AU13" s="42">
        <f t="shared" si="9"/>
        <v>96.98</v>
      </c>
      <c r="AX13">
        <f>HLOOKUP($AX$9&amp;$AX$10,Data!$A$1:$ZT$1975,(MATCH($C13,Data!$A$1:$A$1975,0)),FALSE)</f>
        <v>98.57</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97.32</v>
      </c>
      <c r="G14" s="15"/>
      <c r="H14" s="41" t="str">
        <f t="shared" si="1"/>
        <v/>
      </c>
      <c r="I14" s="73" t="str">
        <f>IF(H14="","",IF($I$8="A",(RANK(H14,H$11:H$333,1)+COUNTIF(H$11:H14,H14)-1),(RANK(H14,H$11:H$333)+COUNTIF(H$11:H14,H14)-1)))</f>
        <v/>
      </c>
      <c r="J14" s="40"/>
      <c r="K14" s="35">
        <f t="shared" si="10"/>
        <v>4</v>
      </c>
      <c r="L14" t="str">
        <f t="shared" si="2"/>
        <v>North Somerset</v>
      </c>
      <c r="M14" s="109">
        <f t="shared" si="3"/>
        <v>97.98</v>
      </c>
      <c r="N14" s="104">
        <f t="shared" si="19"/>
        <v>97.98</v>
      </c>
      <c r="O14" s="89">
        <f t="shared" si="20"/>
        <v>97.98</v>
      </c>
      <c r="P14" s="89" t="str">
        <f t="shared" si="21"/>
        <v/>
      </c>
      <c r="Q14" s="89" t="str">
        <f t="shared" si="22"/>
        <v/>
      </c>
      <c r="R14" s="85" t="str">
        <f t="shared" si="23"/>
        <v/>
      </c>
      <c r="S14" s="41" t="str">
        <f t="shared" si="24"/>
        <v/>
      </c>
      <c r="T14" s="166" t="str">
        <f>IF(L14="","",VLOOKUP(L14,classifications!C:K,9,FALSE))</f>
        <v>Sparse</v>
      </c>
      <c r="U14" s="167">
        <f t="shared" si="25"/>
        <v>97.98</v>
      </c>
      <c r="V14" s="173">
        <f>IF(U14="","",IF($I$8="A",(RANK(U14,U$11:U$333)+COUNTIF(U$11:U14,U14)-1),(RANK(U14,U$11:U$333,1)+COUNTIF(U$11:U14,U14)-1)))</f>
        <v>15</v>
      </c>
      <c r="W14" s="174"/>
      <c r="X14" s="5" t="str">
        <f>IF(L14="","",VLOOKUP($L14,classifications!$C:$J,6,FALSE))</f>
        <v>Urban with Significant Rural</v>
      </c>
      <c r="Y14">
        <f t="shared" si="26"/>
        <v>97.98</v>
      </c>
      <c r="Z14" s="39">
        <f>IF(Y14="","",IF(I$8="A",(RANK(Y14,Y$11:Y$333,1)+COUNTIF(Y$11:Y14,Y14)-1),(RANK(Y14,Y$11:Y$333)+COUNTIF(Y$11:Y14,Y14)-1)))</f>
        <v>2</v>
      </c>
      <c r="AA14" s="177" t="str">
        <f>IF(L14="","",VLOOKUP($L14,classifications!C:I,7,FALSE))</f>
        <v>Urban with Significant Rural</v>
      </c>
      <c r="AB14" s="173">
        <f t="shared" si="27"/>
        <v>97.98</v>
      </c>
      <c r="AC14" s="173">
        <f>IF(AB14="","",IF($I$8="A",(RANK(AB14,AB$11:AB$333)+COUNTIF(AB$11:AB14,AB14)-1),(RANK(AB14,AB$11:AB$333,1)+COUNTIF(AB$11:AB14,AB14)-1)))</f>
        <v>10</v>
      </c>
      <c r="AD14" s="173"/>
      <c r="AE14" s="45">
        <f>IF(I$8="A",(RANK(AG14,AG$11:AG$333,1)+COUNTIF(AG$11:AG14,AG14)-1),(RANK(AG14,AG$11:AG$333)+COUNTIF(AG$11:AG14,AG14)-1))</f>
        <v>4</v>
      </c>
      <c r="AF14" t="str">
        <f>VLOOKUP(Profile!$J$5,Families!$C:$R,2,FALSE)</f>
        <v>Cheshire West &amp; Chester</v>
      </c>
      <c r="AG14" s="15">
        <f t="shared" si="15"/>
        <v>96.98</v>
      </c>
      <c r="AH14" s="46">
        <f t="shared" si="28"/>
        <v>4</v>
      </c>
      <c r="AI14" s="5" t="str">
        <f>IF(L14="","",VLOOKUP($L14,classifications!$C:$J,8,FALSE))</f>
        <v>Unitary</v>
      </c>
      <c r="AJ14" s="42">
        <f t="shared" si="29"/>
        <v>97.98</v>
      </c>
      <c r="AK14" s="39">
        <f>IF(AJ14="","",IF(I$8="A",(RANK(AJ14,AJ$11:AJ$333,1)+COUNTIF(AJ$11:AJ14,AJ14)-1),(RANK(AJ14,AJ$11:AJ$333)+COUNTIF(AJ$11:AJ14,AJ14)-1)))</f>
        <v>4</v>
      </c>
      <c r="AL14" s="3">
        <f t="shared" si="16"/>
        <v>4</v>
      </c>
      <c r="AM14" t="str">
        <f t="shared" si="6"/>
        <v>North Somerset</v>
      </c>
      <c r="AN14">
        <f t="shared" si="7"/>
        <v>97.98</v>
      </c>
      <c r="AP14" s="5" t="str">
        <f>IF(L14="","",VLOOKUP($L14,classifications!$C:$E,3,FALSE))</f>
        <v>South West</v>
      </c>
      <c r="AQ14" s="42" t="str">
        <f t="shared" si="30"/>
        <v/>
      </c>
      <c r="AR14" s="39" t="str">
        <f>IF(AQ14="","",IF(I$8="A",(RANK(AQ14,AQ$11:AQ$333,1)+COUNTIF(AQ$11:AQ14,AQ14)-1),(RANK(AQ14,AQ$11:AQ$333)+COUNTIF(AQ$11:AQ14,AQ14)-1)))</f>
        <v/>
      </c>
      <c r="AS14" s="3">
        <f t="shared" si="18"/>
        <v>4</v>
      </c>
      <c r="AT14" s="39" t="str">
        <f t="shared" si="8"/>
        <v>Warrington</v>
      </c>
      <c r="AU14" s="42">
        <f t="shared" si="9"/>
        <v>96.37</v>
      </c>
      <c r="AX14">
        <f>HLOOKUP($AX$9&amp;$AX$10,Data!$A$1:$ZT$1975,(MATCH($C14,Data!$A$1:$A$1975,0)),FALSE)</f>
        <v>97.32</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96.3</v>
      </c>
      <c r="G15" s="15"/>
      <c r="H15" s="41" t="str">
        <f t="shared" si="1"/>
        <v/>
      </c>
      <c r="I15" s="73" t="str">
        <f>IF(H15="","",IF($I$8="A",(RANK(H15,H$11:H$333,1)+COUNTIF(H$11:H15,H15)-1),(RANK(H15,H$11:H$333)+COUNTIF(H$11:H15,H15)-1)))</f>
        <v/>
      </c>
      <c r="J15" s="40"/>
      <c r="K15" s="35">
        <f t="shared" si="10"/>
        <v>5</v>
      </c>
      <c r="L15" t="str">
        <f t="shared" si="2"/>
        <v>Cheshire East</v>
      </c>
      <c r="M15" s="109">
        <f t="shared" si="3"/>
        <v>97.94</v>
      </c>
      <c r="N15" s="104">
        <f t="shared" si="19"/>
        <v>97.94</v>
      </c>
      <c r="O15" s="89">
        <f t="shared" si="20"/>
        <v>97.94</v>
      </c>
      <c r="P15" s="89" t="str">
        <f t="shared" si="21"/>
        <v/>
      </c>
      <c r="Q15" s="89" t="str">
        <f t="shared" si="22"/>
        <v/>
      </c>
      <c r="R15" s="85" t="str">
        <f t="shared" si="23"/>
        <v/>
      </c>
      <c r="S15" s="41" t="str">
        <f t="shared" si="24"/>
        <v>u</v>
      </c>
      <c r="T15" s="166" t="str">
        <f>IF(L15="","",VLOOKUP(L15,classifications!C:K,9,FALSE))</f>
        <v>Sparse</v>
      </c>
      <c r="U15" s="167">
        <f t="shared" si="25"/>
        <v>97.94</v>
      </c>
      <c r="V15" s="173">
        <f>IF(U15="","",IF($I$8="A",(RANK(U15,U$11:U$333)+COUNTIF(U$11:U15,U15)-1),(RANK(U15,U$11:U$333,1)+COUNTIF(U$11:U15,U15)-1)))</f>
        <v>13</v>
      </c>
      <c r="W15" s="174"/>
      <c r="X15" s="5" t="str">
        <f>IF(L15="","",VLOOKUP($L15,classifications!$C:$J,6,FALSE))</f>
        <v>Urban with Significant Rural</v>
      </c>
      <c r="Y15">
        <f t="shared" si="26"/>
        <v>97.94</v>
      </c>
      <c r="Z15" s="39">
        <f>IF(Y15="","",IF(I$8="A",(RANK(Y15,Y$11:Y$333,1)+COUNTIF(Y$11:Y15,Y15)-1),(RANK(Y15,Y$11:Y$333)+COUNTIF(Y$11:Y15,Y15)-1)))</f>
        <v>3</v>
      </c>
      <c r="AA15" s="177" t="str">
        <f>IF(L15="","",VLOOKUP($L15,classifications!C:I,7,FALSE))</f>
        <v>Urban with Significant Rural</v>
      </c>
      <c r="AB15" s="173">
        <f t="shared" si="27"/>
        <v>97.94</v>
      </c>
      <c r="AC15" s="173">
        <f>IF(AB15="","",IF($I$8="A",(RANK(AB15,AB$11:AB$333)+COUNTIF(AB$11:AB15,AB15)-1),(RANK(AB15,AB$11:AB$333,1)+COUNTIF(AB$11:AB15,AB15)-1)))</f>
        <v>9</v>
      </c>
      <c r="AD15" s="173"/>
      <c r="AE15" s="45">
        <f>IF(I$8="A",(RANK(AG15,AG$11:AG$333,1)+COUNTIF(AG$11:AG15,AG15)-1),(RANK(AG15,AG$11:AG$333)+COUNTIF(AG$11:AG15,AG15)-1))</f>
        <v>5</v>
      </c>
      <c r="AF15" t="str">
        <f>VLOOKUP(Profile!$J$5,Families!$C:$R,2,FALSE)</f>
        <v>Cheshire West &amp; Chester</v>
      </c>
      <c r="AG15" s="15">
        <f t="shared" si="15"/>
        <v>96.98</v>
      </c>
      <c r="AH15" s="46">
        <f t="shared" si="28"/>
        <v>5</v>
      </c>
      <c r="AI15" s="5" t="str">
        <f>IF(L15="","",VLOOKUP($L15,classifications!$C:$J,8,FALSE))</f>
        <v>Unitary</v>
      </c>
      <c r="AJ15" s="42">
        <f t="shared" si="29"/>
        <v>97.94</v>
      </c>
      <c r="AK15" s="39">
        <f>IF(AJ15="","",IF(I$8="A",(RANK(AJ15,AJ$11:AJ$333,1)+COUNTIF(AJ$11:AJ15,AJ15)-1),(RANK(AJ15,AJ$11:AJ$333)+COUNTIF(AJ$11:AJ15,AJ15)-1)))</f>
        <v>5</v>
      </c>
      <c r="AL15" s="3">
        <f t="shared" si="16"/>
        <v>5</v>
      </c>
      <c r="AM15" t="str">
        <f t="shared" si="6"/>
        <v>Cheshire East</v>
      </c>
      <c r="AN15">
        <f t="shared" si="7"/>
        <v>97.94</v>
      </c>
      <c r="AP15" s="5" t="str">
        <f>IF(L15="","",VLOOKUP($L15,classifications!$C:$E,3,FALSE))</f>
        <v>North West</v>
      </c>
      <c r="AQ15" s="42">
        <f t="shared" si="30"/>
        <v>97.94</v>
      </c>
      <c r="AR15" s="39">
        <f>IF(AQ15="","",IF(I$8="A",(RANK(AQ15,AQ$11:AQ$333,1)+COUNTIF(AQ$11:AQ15,AQ15)-1),(RANK(AQ15,AQ$11:AQ$333)+COUNTIF(AQ$11:AQ15,AQ15)-1)))</f>
        <v>1</v>
      </c>
      <c r="AS15" s="3">
        <f t="shared" si="18"/>
        <v>5</v>
      </c>
      <c r="AT15" s="39" t="str">
        <f t="shared" si="8"/>
        <v>Cumberland</v>
      </c>
      <c r="AU15" s="42">
        <f t="shared" si="9"/>
        <v>96.26</v>
      </c>
      <c r="AX15">
        <f>HLOOKUP($AX$9&amp;$AX$10,Data!$A$1:$ZT$1975,(MATCH($C15,Data!$A$1:$A$1975,0)),FALSE)</f>
        <v>96.3</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97.05</v>
      </c>
      <c r="G16" s="15"/>
      <c r="H16" s="41" t="str">
        <f t="shared" si="1"/>
        <v/>
      </c>
      <c r="I16" s="73" t="str">
        <f>IF(H16="","",IF($I$8="A",(RANK(H16,H$11:H$333,1)+COUNTIF(H$11:H16,H16)-1),(RANK(H16,H$11:H$333)+COUNTIF(H$11:H16,H16)-1)))</f>
        <v/>
      </c>
      <c r="J16" s="40"/>
      <c r="K16" s="35">
        <f t="shared" si="10"/>
        <v>6</v>
      </c>
      <c r="L16" t="str">
        <f t="shared" si="2"/>
        <v>Rutland</v>
      </c>
      <c r="M16" s="109">
        <f t="shared" si="3"/>
        <v>97.94</v>
      </c>
      <c r="N16" s="104">
        <f t="shared" si="19"/>
        <v>97.94</v>
      </c>
      <c r="O16" s="89">
        <f t="shared" si="20"/>
        <v>97.94</v>
      </c>
      <c r="P16" s="89" t="str">
        <f t="shared" si="21"/>
        <v/>
      </c>
      <c r="Q16" s="89" t="str">
        <f t="shared" si="22"/>
        <v/>
      </c>
      <c r="R16" s="85" t="str">
        <f t="shared" si="23"/>
        <v/>
      </c>
      <c r="S16" s="41" t="str">
        <f t="shared" si="24"/>
        <v/>
      </c>
      <c r="T16" s="166" t="str">
        <f>IF(L16="","",VLOOKUP(L16,classifications!C:K,9,FALSE))</f>
        <v>Sparse</v>
      </c>
      <c r="U16" s="167">
        <f t="shared" si="25"/>
        <v>97.94</v>
      </c>
      <c r="V16" s="173">
        <f>IF(U16="","",IF($I$8="A",(RANK(U16,U$11:U$333)+COUNTIF(U$11:U16,U16)-1),(RANK(U16,U$11:U$333,1)+COUNTIF(U$11:U16,U16)-1)))</f>
        <v>14</v>
      </c>
      <c r="W16" s="174"/>
      <c r="X16" s="5" t="str">
        <f>IF(L16="","",VLOOKUP($L16,classifications!$C:$J,6,FALSE))</f>
        <v xml:space="preserve">Predominantly Rural </v>
      </c>
      <c r="Y16">
        <f t="shared" si="26"/>
        <v>97.94</v>
      </c>
      <c r="Z16" s="39">
        <f>IF(Y16="","",IF(I$8="A",(RANK(Y16,Y$11:Y$333,1)+COUNTIF(Y$11:Y16,Y16)-1),(RANK(Y16,Y$11:Y$333)+COUNTIF(Y$11:Y16,Y16)-1)))</f>
        <v>4</v>
      </c>
      <c r="AA16" s="177" t="str">
        <f>IF(L16="","",VLOOKUP($L16,classifications!C:I,7,FALSE))</f>
        <v>Predominantly Rural</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96.98</v>
      </c>
      <c r="AH16" s="46">
        <f t="shared" si="28"/>
        <v>6</v>
      </c>
      <c r="AI16" s="5" t="str">
        <f>IF(L16="","",VLOOKUP($L16,classifications!$C:$J,8,FALSE))</f>
        <v>Unitary</v>
      </c>
      <c r="AJ16" s="42">
        <f t="shared" si="29"/>
        <v>97.94</v>
      </c>
      <c r="AK16" s="39">
        <f>IF(AJ16="","",IF(I$8="A",(RANK(AJ16,AJ$11:AJ$333,1)+COUNTIF(AJ$11:AJ16,AJ16)-1),(RANK(AJ16,AJ$11:AJ$333)+COUNTIF(AJ$11:AJ16,AJ16)-1)))</f>
        <v>6</v>
      </c>
      <c r="AL16" s="3">
        <f t="shared" si="16"/>
        <v>6</v>
      </c>
      <c r="AM16" t="str">
        <f t="shared" si="6"/>
        <v>Rutland</v>
      </c>
      <c r="AN16">
        <f t="shared" si="7"/>
        <v>97.94</v>
      </c>
      <c r="AP16" s="5" t="str">
        <f>IF(L16="","",VLOOKUP($L16,classifications!$C:$E,3,FALSE))</f>
        <v>East Midlands</v>
      </c>
      <c r="AQ16" s="42" t="str">
        <f t="shared" si="30"/>
        <v/>
      </c>
      <c r="AR16" s="39" t="str">
        <f>IF(AQ16="","",IF(I$8="A",(RANK(AQ16,AQ$11:AQ$333,1)+COUNTIF(AQ$11:AQ16,AQ16)-1),(RANK(AQ16,AQ$11:AQ$333)+COUNTIF(AQ$11:AQ16,AQ16)-1)))</f>
        <v/>
      </c>
      <c r="AS16" s="3">
        <f t="shared" si="18"/>
        <v>6</v>
      </c>
      <c r="AT16" s="39" t="str">
        <f t="shared" si="8"/>
        <v>Blackburn with Darwen</v>
      </c>
      <c r="AU16" s="42">
        <f t="shared" si="9"/>
        <v>95.3</v>
      </c>
      <c r="AX16">
        <f>HLOOKUP($AX$9&amp;$AX$10,Data!$A$1:$ZT$1975,(MATCH($C16,Data!$A$1:$A$1975,0)),FALSE)</f>
        <v>97.05</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98.11</v>
      </c>
      <c r="G17" s="15"/>
      <c r="H17" s="41" t="str">
        <f t="shared" si="1"/>
        <v/>
      </c>
      <c r="I17" s="73" t="str">
        <f>IF(H17="","",IF($I$8="A",(RANK(H17,H$11:H$333,1)+COUNTIF(H$11:H17,H17)-1),(RANK(H17,H$11:H$333)+COUNTIF(H$11:H17,H17)-1)))</f>
        <v/>
      </c>
      <c r="J17" s="40"/>
      <c r="K17" s="35">
        <f t="shared" si="10"/>
        <v>7</v>
      </c>
      <c r="L17" t="str">
        <f t="shared" si="2"/>
        <v>North Yorkshire</v>
      </c>
      <c r="M17" s="109">
        <f t="shared" si="3"/>
        <v>97.87</v>
      </c>
      <c r="N17" s="104">
        <f t="shared" si="19"/>
        <v>97.87</v>
      </c>
      <c r="O17" s="89">
        <f t="shared" si="20"/>
        <v>97.87</v>
      </c>
      <c r="P17" s="89" t="str">
        <f t="shared" si="21"/>
        <v/>
      </c>
      <c r="Q17" s="89" t="str">
        <f t="shared" si="22"/>
        <v/>
      </c>
      <c r="R17" s="85" t="str">
        <f t="shared" si="23"/>
        <v/>
      </c>
      <c r="S17" s="41" t="str">
        <f t="shared" si="24"/>
        <v/>
      </c>
      <c r="T17" s="166" t="str">
        <f>IF(L17="","",VLOOKUP(L17,classifications!C:K,9,FALSE))</f>
        <v>Sparse</v>
      </c>
      <c r="U17" s="167">
        <f t="shared" si="25"/>
        <v>97.87</v>
      </c>
      <c r="V17" s="173">
        <f>IF(U17="","",IF($I$8="A",(RANK(U17,U$11:U$333)+COUNTIF(U$11:U17,U17)-1),(RANK(U17,U$11:U$333,1)+COUNTIF(U$11:U17,U17)-1)))</f>
        <v>12</v>
      </c>
      <c r="W17" s="174"/>
      <c r="X17" s="5" t="str">
        <f>IF(L17="","",VLOOKUP($L17,classifications!$C:$J,6,FALSE))</f>
        <v xml:space="preserve">Predominantly Rural </v>
      </c>
      <c r="Y17">
        <f t="shared" si="26"/>
        <v>97.87</v>
      </c>
      <c r="Z17" s="39">
        <f>IF(Y17="","",IF(I$8="A",(RANK(Y17,Y$11:Y$333,1)+COUNTIF(Y$11:Y17,Y17)-1),(RANK(Y17,Y$11:Y$333)+COUNTIF(Y$11:Y17,Y17)-1)))</f>
        <v>5</v>
      </c>
      <c r="AA17" s="177" t="str">
        <f>IF(L17="","",VLOOKUP($L17,classifications!C:I,7,FALSE))</f>
        <v>Predominantly Rural</v>
      </c>
      <c r="AB17" s="173" t="str">
        <f t="shared" si="27"/>
        <v/>
      </c>
      <c r="AC17" s="173" t="str">
        <f>IF(AB17="","",IF($I$8="A",(RANK(AB17,AB$11:AB$333)+COUNTIF(AB$11:AB17,AB17)-1),(RANK(AB17,AB$11:AB$333,1)+COUNTIF(AB$11:AB17,AB17)-1)))</f>
        <v/>
      </c>
      <c r="AD17" s="173"/>
      <c r="AE17" s="45">
        <f>IF(I$8="A",(RANK(AG17,AG$11:AG$333,1)+COUNTIF(AG$11:AG17,AG17)-1),(RANK(AG17,AG$11:AG$333)+COUNTIF(AG$11:AG17,AG17)-1))</f>
        <v>7</v>
      </c>
      <c r="AF17" t="str">
        <f>VLOOKUP(Profile!$J$5,Families!$C:$R,2,FALSE)</f>
        <v>Cheshire West &amp; Chester</v>
      </c>
      <c r="AG17" s="15">
        <f t="shared" si="15"/>
        <v>96.98</v>
      </c>
      <c r="AH17" s="46">
        <f t="shared" si="28"/>
        <v>7</v>
      </c>
      <c r="AI17" s="5" t="str">
        <f>IF(L17="","",VLOOKUP($L17,classifications!$C:$J,8,FALSE))</f>
        <v>Unitary</v>
      </c>
      <c r="AJ17" s="42">
        <f t="shared" si="29"/>
        <v>97.87</v>
      </c>
      <c r="AK17" s="39">
        <f>IF(AJ17="","",IF(I$8="A",(RANK(AJ17,AJ$11:AJ$333,1)+COUNTIF(AJ$11:AJ17,AJ17)-1),(RANK(AJ17,AJ$11:AJ$333)+COUNTIF(AJ$11:AJ17,AJ17)-1)))</f>
        <v>7</v>
      </c>
      <c r="AL17" s="3">
        <f t="shared" si="16"/>
        <v>7</v>
      </c>
      <c r="AM17" t="str">
        <f t="shared" si="6"/>
        <v>North Yorkshire</v>
      </c>
      <c r="AN17">
        <f t="shared" si="7"/>
        <v>97.87</v>
      </c>
      <c r="AP17" s="5" t="str">
        <f>IF(L17="","",VLOOKUP($L17,classifications!$C:$E,3,FALSE))</f>
        <v>Yorkshire &amp; Humberside</v>
      </c>
      <c r="AQ17" s="42" t="str">
        <f t="shared" si="30"/>
        <v/>
      </c>
      <c r="AR17" s="39" t="str">
        <f>IF(AQ17="","",IF(I$8="A",(RANK(AQ17,AQ$11:AQ$333,1)+COUNTIF(AQ$11:AQ17,AQ17)-1),(RANK(AQ17,AQ$11:AQ$333)+COUNTIF(AQ$11:AQ17,AQ17)-1)))</f>
        <v/>
      </c>
      <c r="AS17" s="3">
        <f t="shared" si="18"/>
        <v>7</v>
      </c>
      <c r="AT17" s="39" t="str">
        <f t="shared" si="8"/>
        <v>Halton</v>
      </c>
      <c r="AU17" s="42">
        <f t="shared" si="9"/>
        <v>93.78</v>
      </c>
      <c r="AX17">
        <f>HLOOKUP($AX$9&amp;$AX$10,Data!$A$1:$ZT$1975,(MATCH($C17,Data!$A$1:$A$1975,0)),FALSE)</f>
        <v>98.11</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93.54</v>
      </c>
      <c r="G18" s="15"/>
      <c r="H18" s="41" t="str">
        <f t="shared" si="1"/>
        <v/>
      </c>
      <c r="I18" s="73" t="str">
        <f>IF(H18="","",IF($I$8="A",(RANK(H18,H$11:H$333,1)+COUNTIF(H$11:H18,H18)-1),(RANK(H18,H$11:H$333)+COUNTIF(H$11:H18,H18)-1)))</f>
        <v/>
      </c>
      <c r="J18" s="40"/>
      <c r="K18" s="35">
        <f t="shared" si="10"/>
        <v>8</v>
      </c>
      <c r="L18" t="str">
        <f t="shared" si="2"/>
        <v>Shropshire</v>
      </c>
      <c r="M18" s="109">
        <f t="shared" si="3"/>
        <v>97.82</v>
      </c>
      <c r="N18" s="104">
        <f t="shared" si="19"/>
        <v>97.82</v>
      </c>
      <c r="O18" s="89">
        <f t="shared" si="20"/>
        <v>97.82</v>
      </c>
      <c r="P18" s="89" t="str">
        <f t="shared" si="21"/>
        <v/>
      </c>
      <c r="Q18" s="89" t="str">
        <f t="shared" si="22"/>
        <v/>
      </c>
      <c r="R18" s="85" t="str">
        <f t="shared" si="23"/>
        <v/>
      </c>
      <c r="S18" s="41" t="str">
        <f t="shared" si="24"/>
        <v/>
      </c>
      <c r="T18" s="166" t="str">
        <f>IF(L18="","",VLOOKUP(L18,classifications!C:K,9,FALSE))</f>
        <v>Sparse</v>
      </c>
      <c r="U18" s="167">
        <f t="shared" si="25"/>
        <v>97.82</v>
      </c>
      <c r="V18" s="173">
        <f>IF(U18="","",IF($I$8="A",(RANK(U18,U$11:U$333)+COUNTIF(U$11:U18,U18)-1),(RANK(U18,U$11:U$333,1)+COUNTIF(U$11:U18,U18)-1)))</f>
        <v>11</v>
      </c>
      <c r="W18" s="174"/>
      <c r="X18" s="5" t="str">
        <f>IF(L18="","",VLOOKUP($L18,classifications!$C:$J,6,FALSE))</f>
        <v xml:space="preserve">Predominantly Rural </v>
      </c>
      <c r="Y18">
        <f t="shared" si="26"/>
        <v>97.82</v>
      </c>
      <c r="Z18" s="39">
        <f>IF(Y18="","",IF(I$8="A",(RANK(Y18,Y$11:Y$333,1)+COUNTIF(Y$11:Y18,Y18)-1),(RANK(Y18,Y$11:Y$333)+COUNTIF(Y$11:Y18,Y18)-1)))</f>
        <v>6</v>
      </c>
      <c r="AA18" s="177" t="str">
        <f>IF(L18="","",VLOOKUP($L18,classifications!C:I,7,FALSE))</f>
        <v>Predominantly Rural</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96.98</v>
      </c>
      <c r="AH18" s="46">
        <f t="shared" si="28"/>
        <v>8</v>
      </c>
      <c r="AI18" s="5" t="str">
        <f>IF(L18="","",VLOOKUP($L18,classifications!$C:$J,8,FALSE))</f>
        <v>Unitary</v>
      </c>
      <c r="AJ18" s="42">
        <f t="shared" si="29"/>
        <v>97.82</v>
      </c>
      <c r="AK18" s="39">
        <f>IF(AJ18="","",IF(I$8="A",(RANK(AJ18,AJ$11:AJ$333,1)+COUNTIF(AJ$11:AJ18,AJ18)-1),(RANK(AJ18,AJ$11:AJ$333)+COUNTIF(AJ$11:AJ18,AJ18)-1)))</f>
        <v>8</v>
      </c>
      <c r="AL18" s="3">
        <f t="shared" si="16"/>
        <v>8</v>
      </c>
      <c r="AM18" t="str">
        <f t="shared" si="6"/>
        <v>Shropshire</v>
      </c>
      <c r="AN18">
        <f t="shared" si="7"/>
        <v>97.82</v>
      </c>
      <c r="AP18" s="5" t="str">
        <f>IF(L18="","",VLOOKUP($L18,classifications!$C:$E,3,FALSE))</f>
        <v>West Midlands</v>
      </c>
      <c r="AQ18" s="42" t="str">
        <f t="shared" si="30"/>
        <v/>
      </c>
      <c r="AR18" s="39" t="str">
        <f>IF(AQ18="","",IF(I$8="A",(RANK(AQ18,AQ$11:AQ$333,1)+COUNTIF(AQ$11:AQ18,AQ18)-1),(RANK(AQ18,AQ$11:AQ$333)+COUNTIF(AQ$11:AQ18,AQ18)-1)))</f>
        <v/>
      </c>
      <c r="AS18" s="3">
        <f t="shared" si="18"/>
        <v>8</v>
      </c>
      <c r="AT18" s="39" t="str">
        <f t="shared" si="8"/>
        <v>Blackpool</v>
      </c>
      <c r="AU18" s="42">
        <f t="shared" si="9"/>
        <v>88.97</v>
      </c>
      <c r="AX18">
        <f>HLOOKUP($AX$9&amp;$AX$10,Data!$A$1:$ZT$1975,(MATCH($C18,Data!$A$1:$A$1975,0)),FALSE)</f>
        <v>93.54</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94.51</v>
      </c>
      <c r="G19" s="15"/>
      <c r="H19" s="41" t="str">
        <f t="shared" si="1"/>
        <v/>
      </c>
      <c r="I19" s="73" t="str">
        <f>IF(H19="","",IF($I$8="A",(RANK(H19,H$11:H$333,1)+COUNTIF(H$11:H19,H19)-1),(RANK(H19,H$11:H$333)+COUNTIF(H$11:H19,H19)-1)))</f>
        <v/>
      </c>
      <c r="J19" s="40"/>
      <c r="K19" s="35">
        <f t="shared" si="10"/>
        <v>9</v>
      </c>
      <c r="L19" t="str">
        <f t="shared" si="2"/>
        <v>Wiltshire</v>
      </c>
      <c r="M19" s="109">
        <f t="shared" si="3"/>
        <v>97.71</v>
      </c>
      <c r="N19" s="104">
        <f t="shared" si="19"/>
        <v>97.71</v>
      </c>
      <c r="O19" s="89">
        <f t="shared" si="20"/>
        <v>97.71</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 xml:space="preserve">Predominantly Rural </v>
      </c>
      <c r="Y19">
        <f t="shared" si="26"/>
        <v>97.71</v>
      </c>
      <c r="Z19" s="39">
        <f>IF(Y19="","",IF(I$8="A",(RANK(Y19,Y$11:Y$333,1)+COUNTIF(Y$11:Y19,Y19)-1),(RANK(Y19,Y$11:Y$333)+COUNTIF(Y$11:Y19,Y19)-1)))</f>
        <v>7</v>
      </c>
      <c r="AA19" s="177" t="str">
        <f>IF(L19="","",VLOOKUP($L19,classifications!C:I,7,FALSE))</f>
        <v>Predominantly Rural</v>
      </c>
      <c r="AB19" s="173" t="str">
        <f t="shared" si="27"/>
        <v/>
      </c>
      <c r="AC19" s="173" t="str">
        <f>IF(AB19="","",IF($I$8="A",(RANK(AB19,AB$11:AB$333)+COUNTIF(AB$11:AB19,AB19)-1),(RANK(AB19,AB$11:AB$333,1)+COUNTIF(AB$11:AB19,AB19)-1)))</f>
        <v/>
      </c>
      <c r="AD19" s="173"/>
      <c r="AE19" s="45">
        <f>IF(I$8="A",(RANK(AG19,AG$11:AG$333,1)+COUNTIF(AG$11:AG19,AG19)-1),(RANK(AG19,AG$11:AG$333)+COUNTIF(AG$11:AG19,AG19)-1))</f>
        <v>9</v>
      </c>
      <c r="AF19" t="str">
        <f>VLOOKUP(Profile!$J$5,Families!$C:$R,2,FALSE)</f>
        <v>Cheshire West &amp; Chester</v>
      </c>
      <c r="AG19" s="15">
        <f t="shared" si="15"/>
        <v>96.98</v>
      </c>
      <c r="AH19" s="46">
        <f t="shared" si="28"/>
        <v>9</v>
      </c>
      <c r="AI19" s="5" t="str">
        <f>IF(L19="","",VLOOKUP($L19,classifications!$C:$J,8,FALSE))</f>
        <v>Unitary</v>
      </c>
      <c r="AJ19" s="42">
        <f t="shared" si="29"/>
        <v>97.71</v>
      </c>
      <c r="AK19" s="39">
        <f>IF(AJ19="","",IF(I$8="A",(RANK(AJ19,AJ$11:AJ$333,1)+COUNTIF(AJ$11:AJ19,AJ19)-1),(RANK(AJ19,AJ$11:AJ$333)+COUNTIF(AJ$11:AJ19,AJ19)-1)))</f>
        <v>9</v>
      </c>
      <c r="AL19" s="3">
        <f t="shared" si="16"/>
        <v>9</v>
      </c>
      <c r="AM19" t="str">
        <f t="shared" si="6"/>
        <v>Wiltshire</v>
      </c>
      <c r="AN19">
        <f t="shared" si="7"/>
        <v>97.71</v>
      </c>
      <c r="AP19" s="5" t="str">
        <f>IF(L19="","",VLOOKUP($L19,classifications!$C:$E,3,FALSE))</f>
        <v>South West</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94.51</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96.72</v>
      </c>
      <c r="G20" s="15"/>
      <c r="H20" s="41" t="str">
        <f t="shared" si="1"/>
        <v/>
      </c>
      <c r="I20" s="73" t="str">
        <f>IF(H20="","",IF($I$8="A",(RANK(H20,H$11:H$333,1)+COUNTIF(H$11:H20,H20)-1),(RANK(H20,H$11:H$333)+COUNTIF(H$11:H20,H20)-1)))</f>
        <v/>
      </c>
      <c r="J20" s="40"/>
      <c r="K20" s="35">
        <f t="shared" si="10"/>
        <v>10</v>
      </c>
      <c r="L20" t="str">
        <f t="shared" si="2"/>
        <v>Southend-on-Sea</v>
      </c>
      <c r="M20" s="109">
        <f t="shared" si="3"/>
        <v>97.58</v>
      </c>
      <c r="N20" s="104">
        <f t="shared" si="19"/>
        <v>97.58</v>
      </c>
      <c r="O20" s="89">
        <f t="shared" si="20"/>
        <v>97.58</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f>IF(I$8="A",(RANK(AG20,AG$11:AG$333,1)+COUNTIF(AG$11:AG20,AG20)-1),(RANK(AG20,AG$11:AG$333)+COUNTIF(AG$11:AG20,AG20)-1))</f>
        <v>10</v>
      </c>
      <c r="AF20" t="str">
        <f>VLOOKUP(Profile!$J$5,Families!$C:$R,2,FALSE)</f>
        <v>Cheshire West &amp; Chester</v>
      </c>
      <c r="AG20" s="15">
        <f t="shared" si="15"/>
        <v>96.98</v>
      </c>
      <c r="AH20" s="46">
        <f t="shared" si="28"/>
        <v>10</v>
      </c>
      <c r="AI20" s="5" t="str">
        <f>IF(L20="","",VLOOKUP($L20,classifications!$C:$J,8,FALSE))</f>
        <v>Unitary</v>
      </c>
      <c r="AJ20" s="42">
        <f t="shared" si="29"/>
        <v>97.58</v>
      </c>
      <c r="AK20" s="39">
        <f>IF(AJ20="","",IF(I$8="A",(RANK(AJ20,AJ$11:AJ$333,1)+COUNTIF(AJ$11:AJ20,AJ20)-1),(RANK(AJ20,AJ$11:AJ$333)+COUNTIF(AJ$11:AJ20,AJ20)-1)))</f>
        <v>10</v>
      </c>
      <c r="AL20" s="3">
        <f t="shared" si="16"/>
        <v>10</v>
      </c>
      <c r="AM20" t="str">
        <f t="shared" si="6"/>
        <v>Southend-on-Sea</v>
      </c>
      <c r="AN20">
        <f t="shared" si="7"/>
        <v>97.58</v>
      </c>
      <c r="AP20" s="5" t="str">
        <f>IF(L20="","",VLOOKUP($L20,classifications!$C:$E,3,FALSE))</f>
        <v>East of England</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96.72</v>
      </c>
    </row>
    <row r="21" spans="1:50">
      <c r="A21" s="55" t="str">
        <f>$D$1&amp;11</f>
        <v>UA11</v>
      </c>
      <c r="B21" s="56" t="str">
        <f>IF(ISERROR(VLOOKUP(A21,classifications!A:C,3,FALSE)),0,VLOOKUP(A21,classifications!A:C,3,FALSE))</f>
        <v>Northumberland</v>
      </c>
      <c r="C21" t="s">
        <v>900</v>
      </c>
      <c r="D21" t="str">
        <f>VLOOKUP($C21,classifications!$C:$J,4,FALSE)</f>
        <v>UA</v>
      </c>
      <c r="E21" t="str">
        <f>VLOOKUP(C21,classifications!C:K,9,FALSE)</f>
        <v>Sparse</v>
      </c>
      <c r="F21">
        <f t="shared" si="0"/>
        <v>97.38</v>
      </c>
      <c r="G21" s="15"/>
      <c r="H21" s="41">
        <f t="shared" si="1"/>
        <v>97.38</v>
      </c>
      <c r="I21" s="73">
        <f>IF(H21="","",IF($I$8="A",(RANK(H21,H$11:H$333,1)+COUNTIF(H$11:H21,H21)-1),(RANK(H21,H$11:H$333)+COUNTIF(H$11:H21,H21)-1)))</f>
        <v>14</v>
      </c>
      <c r="J21" s="40"/>
      <c r="K21" s="35">
        <f t="shared" si="10"/>
        <v>11</v>
      </c>
      <c r="L21" t="str">
        <f t="shared" si="2"/>
        <v>Central Bedfordshire</v>
      </c>
      <c r="M21" s="109">
        <f t="shared" si="3"/>
        <v>97.55</v>
      </c>
      <c r="N21" s="104">
        <f t="shared" si="19"/>
        <v>97.55</v>
      </c>
      <c r="O21" s="89">
        <f t="shared" si="20"/>
        <v>97.55</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 xml:space="preserve">Predominantly Rural </v>
      </c>
      <c r="Y21">
        <f t="shared" si="26"/>
        <v>97.55</v>
      </c>
      <c r="Z21" s="39">
        <f>IF(Y21="","",IF(I$8="A",(RANK(Y21,Y$11:Y$333,1)+COUNTIF(Y$11:Y21,Y21)-1),(RANK(Y21,Y$11:Y$333)+COUNTIF(Y$11:Y21,Y21)-1)))</f>
        <v>8</v>
      </c>
      <c r="AA21" s="177" t="str">
        <f>IF(L21="","",VLOOKUP($L21,classifications!C:I,7,FALSE))</f>
        <v>Predominantly Rural</v>
      </c>
      <c r="AB21" s="173" t="str">
        <f t="shared" si="27"/>
        <v/>
      </c>
      <c r="AC21" s="173" t="str">
        <f>IF(AB21="","",IF($I$8="A",(RANK(AB21,AB$11:AB$333)+COUNTIF(AB$11:AB21,AB21)-1),(RANK(AB21,AB$11:AB$333,1)+COUNTIF(AB$11:AB21,AB21)-1)))</f>
        <v/>
      </c>
      <c r="AD21" s="173"/>
      <c r="AE21" s="45">
        <f>IF(I$8="A",(RANK(AG21,AG$11:AG$333,1)+COUNTIF(AG$11:AG21,AG21)-1),(RANK(AG21,AG$11:AG$333)+COUNTIF(AG$11:AG21,AG21)-1))</f>
        <v>11</v>
      </c>
      <c r="AF21" t="str">
        <f>VLOOKUP(Profile!$J$5,Families!$C:$R,2,FALSE)</f>
        <v>Cheshire West &amp; Chester</v>
      </c>
      <c r="AG21" s="15">
        <f t="shared" si="15"/>
        <v>96.98</v>
      </c>
      <c r="AH21" s="46">
        <f t="shared" si="28"/>
        <v>11</v>
      </c>
      <c r="AI21" s="5" t="str">
        <f>IF(L21="","",VLOOKUP($L21,classifications!$C:$J,8,FALSE))</f>
        <v>Unitary</v>
      </c>
      <c r="AJ21" s="42">
        <f t="shared" si="29"/>
        <v>97.55</v>
      </c>
      <c r="AK21" s="39">
        <f>IF(AJ21="","",IF(I$8="A",(RANK(AJ21,AJ$11:AJ$333,1)+COUNTIF(AJ$11:AJ21,AJ21)-1),(RANK(AJ21,AJ$11:AJ$333)+COUNTIF(AJ$11:AJ21,AJ21)-1)))</f>
        <v>11</v>
      </c>
      <c r="AL21" s="3">
        <f t="shared" si="16"/>
        <v>11</v>
      </c>
      <c r="AM21" t="str">
        <f t="shared" si="6"/>
        <v>Central Bedfordshire</v>
      </c>
      <c r="AN21">
        <f t="shared" si="7"/>
        <v>97.55</v>
      </c>
      <c r="AP21" s="5" t="str">
        <f>IF(L21="","",VLOOKUP($L21,classifications!$C:$E,3,FALSE))</f>
        <v>East of England</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97.38</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96.47</v>
      </c>
      <c r="G22" s="15"/>
      <c r="H22" s="41" t="str">
        <f t="shared" si="1"/>
        <v/>
      </c>
      <c r="I22" s="73" t="str">
        <f>IF(H22="","",IF($I$8="A",(RANK(H22,H$11:H$333,1)+COUNTIF(H$11:H22,H22)-1),(RANK(H22,H$11:H$333)+COUNTIF(H$11:H22,H22)-1)))</f>
        <v/>
      </c>
      <c r="J22" s="40"/>
      <c r="K22" s="35">
        <f t="shared" si="10"/>
        <v>12</v>
      </c>
      <c r="L22" t="str">
        <f t="shared" si="2"/>
        <v>West Berkshire</v>
      </c>
      <c r="M22" s="109">
        <f t="shared" si="3"/>
        <v>97.49</v>
      </c>
      <c r="N22" s="104">
        <f t="shared" si="19"/>
        <v>97.49</v>
      </c>
      <c r="O22" s="89">
        <f t="shared" si="20"/>
        <v>97.49</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Urban with Significant Rural</v>
      </c>
      <c r="Y22">
        <f t="shared" si="26"/>
        <v>97.49</v>
      </c>
      <c r="Z22" s="39">
        <f>IF(Y22="","",IF(I$8="A",(RANK(Y22,Y$11:Y$333,1)+COUNTIF(Y$11:Y22,Y22)-1),(RANK(Y22,Y$11:Y$333)+COUNTIF(Y$11:Y22,Y22)-1)))</f>
        <v>9</v>
      </c>
      <c r="AA22" s="177" t="str">
        <f>IF(L22="","",VLOOKUP($L22,classifications!C:I,7,FALSE))</f>
        <v>Urban with Significant Rural</v>
      </c>
      <c r="AB22" s="173">
        <f t="shared" si="27"/>
        <v>97.49</v>
      </c>
      <c r="AC22" s="173">
        <f>IF(AB22="","",IF($I$8="A",(RANK(AB22,AB$11:AB$333)+COUNTIF(AB$11:AB22,AB22)-1),(RANK(AB22,AB$11:AB$333,1)+COUNTIF(AB$11:AB22,AB22)-1)))</f>
        <v>8</v>
      </c>
      <c r="AD22" s="173"/>
      <c r="AE22" s="45">
        <f>IF(I$8="A",(RANK(AG22,AG$11:AG$333,1)+COUNTIF(AG$11:AG22,AG22)-1),(RANK(AG22,AG$11:AG$333)+COUNTIF(AG$11:AG22,AG22)-1))</f>
        <v>12</v>
      </c>
      <c r="AF22" t="str">
        <f>VLOOKUP(Profile!$J$5,Families!$C:$R,2,FALSE)</f>
        <v>Cheshire West &amp; Chester</v>
      </c>
      <c r="AG22" s="15">
        <f t="shared" si="15"/>
        <v>96.98</v>
      </c>
      <c r="AH22" s="46">
        <f t="shared" si="28"/>
        <v>12</v>
      </c>
      <c r="AI22" s="5" t="str">
        <f>IF(L22="","",VLOOKUP($L22,classifications!$C:$J,8,FALSE))</f>
        <v>Unitary</v>
      </c>
      <c r="AJ22" s="42">
        <f t="shared" si="29"/>
        <v>97.49</v>
      </c>
      <c r="AK22" s="39">
        <f>IF(AJ22="","",IF(I$8="A",(RANK(AJ22,AJ$11:AJ$333,1)+COUNTIF(AJ$11:AJ22,AJ22)-1),(RANK(AJ22,AJ$11:AJ$333)+COUNTIF(AJ$11:AJ22,AJ22)-1)))</f>
        <v>12</v>
      </c>
      <c r="AL22" s="3">
        <f t="shared" si="16"/>
        <v>12</v>
      </c>
      <c r="AM22" t="str">
        <f t="shared" si="6"/>
        <v>West Berkshire</v>
      </c>
      <c r="AN22">
        <f t="shared" si="7"/>
        <v>97.49</v>
      </c>
      <c r="AP22" s="5" t="str">
        <f>IF(L22="","",VLOOKUP($L22,classifications!$C:$E,3,FALSE))</f>
        <v>South East</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96.47</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97.94</v>
      </c>
      <c r="G23" s="15"/>
      <c r="H23" s="41" t="str">
        <f t="shared" si="1"/>
        <v/>
      </c>
      <c r="I23" s="73" t="str">
        <f>IF(H23="","",IF($I$8="A",(RANK(H23,H$11:H$333,1)+COUNTIF(H$11:H23,H23)-1),(RANK(H23,H$11:H$333)+COUNTIF(H$11:H23,H23)-1)))</f>
        <v/>
      </c>
      <c r="J23" s="40"/>
      <c r="K23" s="35">
        <f t="shared" si="10"/>
        <v>13</v>
      </c>
      <c r="L23" t="str">
        <f t="shared" si="2"/>
        <v>Herefordshire</v>
      </c>
      <c r="M23" s="109">
        <f t="shared" si="3"/>
        <v>97.41</v>
      </c>
      <c r="N23" s="104">
        <f t="shared" si="19"/>
        <v>97.41</v>
      </c>
      <c r="O23" s="89">
        <f t="shared" si="20"/>
        <v>97.41</v>
      </c>
      <c r="P23" s="89" t="str">
        <f t="shared" si="21"/>
        <v/>
      </c>
      <c r="Q23" s="89" t="str">
        <f t="shared" si="22"/>
        <v/>
      </c>
      <c r="R23" s="85" t="str">
        <f t="shared" si="23"/>
        <v/>
      </c>
      <c r="S23" s="41" t="str">
        <f t="shared" si="24"/>
        <v/>
      </c>
      <c r="T23" s="166" t="str">
        <f>IF(L23="","",VLOOKUP(L23,classifications!C:K,9,FALSE))</f>
        <v>Sparse</v>
      </c>
      <c r="U23" s="167">
        <f t="shared" si="25"/>
        <v>97.41</v>
      </c>
      <c r="V23" s="173">
        <f>IF(U23="","",IF($I$8="A",(RANK(U23,U$11:U$333)+COUNTIF(U$11:U23,U23)-1),(RANK(U23,U$11:U$333,1)+COUNTIF(U$11:U23,U23)-1)))</f>
        <v>10</v>
      </c>
      <c r="W23" s="174"/>
      <c r="X23" s="5" t="str">
        <f>IF(L23="","",VLOOKUP($L23,classifications!$C:$J,6,FALSE))</f>
        <v xml:space="preserve">Predominantly Rural </v>
      </c>
      <c r="Y23">
        <f t="shared" si="26"/>
        <v>97.41</v>
      </c>
      <c r="Z23" s="39">
        <f>IF(Y23="","",IF(I$8="A",(RANK(Y23,Y$11:Y$333,1)+COUNTIF(Y$11:Y23,Y23)-1),(RANK(Y23,Y$11:Y$333)+COUNTIF(Y$11:Y23,Y23)-1)))</f>
        <v>10</v>
      </c>
      <c r="AA23" s="177" t="str">
        <f>IF(L23="","",VLOOKUP($L23,classifications!C:I,7,FALSE))</f>
        <v>Predominantly Rural</v>
      </c>
      <c r="AB23" s="173" t="str">
        <f t="shared" si="27"/>
        <v/>
      </c>
      <c r="AC23" s="173" t="str">
        <f>IF(AB23="","",IF($I$8="A",(RANK(AB23,AB$11:AB$333)+COUNTIF(AB$11:AB23,AB23)-1),(RANK(AB23,AB$11:AB$333,1)+COUNTIF(AB$11:AB23,AB23)-1)))</f>
        <v/>
      </c>
      <c r="AD23" s="173"/>
      <c r="AE23" s="45">
        <f>IF(I$8="A",(RANK(AG23,AG$11:AG$333,1)+COUNTIF(AG$11:AG23,AG23)-1),(RANK(AG23,AG$11:AG$333)+COUNTIF(AG$11:AG23,AG23)-1))</f>
        <v>13</v>
      </c>
      <c r="AF23" t="str">
        <f>VLOOKUP(Profile!$J$5,Families!$C:$R,2,FALSE)</f>
        <v>Cheshire West &amp; Chester</v>
      </c>
      <c r="AG23" s="15">
        <f t="shared" si="15"/>
        <v>96.98</v>
      </c>
      <c r="AH23" s="46">
        <f t="shared" si="28"/>
        <v>13</v>
      </c>
      <c r="AI23" s="5" t="str">
        <f>IF(L23="","",VLOOKUP($L23,classifications!$C:$J,8,FALSE))</f>
        <v>Unitary</v>
      </c>
      <c r="AJ23" s="42">
        <f t="shared" si="29"/>
        <v>97.41</v>
      </c>
      <c r="AK23" s="39">
        <f>IF(AJ23="","",IF(I$8="A",(RANK(AJ23,AJ$11:AJ$333,1)+COUNTIF(AJ$11:AJ23,AJ23)-1),(RANK(AJ23,AJ$11:AJ$333)+COUNTIF(AJ$11:AJ23,AJ23)-1)))</f>
        <v>13</v>
      </c>
      <c r="AL23" s="3">
        <f t="shared" si="16"/>
        <v>13</v>
      </c>
      <c r="AM23" t="str">
        <f t="shared" si="6"/>
        <v>Herefordshire</v>
      </c>
      <c r="AN23">
        <f t="shared" si="7"/>
        <v>97.41</v>
      </c>
      <c r="AP23" s="5" t="str">
        <f>IF(L23="","",VLOOKUP($L23,classifications!$C:$E,3,FALSE))</f>
        <v>West Midlands</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97.94</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95.5</v>
      </c>
      <c r="G24" s="15"/>
      <c r="H24" s="41" t="str">
        <f t="shared" si="1"/>
        <v/>
      </c>
      <c r="I24" s="73" t="str">
        <f>IF(H24="","",IF($I$8="A",(RANK(H24,H$11:H$333,1)+COUNTIF(H$11:H24,H24)-1),(RANK(H24,H$11:H$333)+COUNTIF(H$11:H24,H24)-1)))</f>
        <v/>
      </c>
      <c r="J24" s="40"/>
      <c r="K24" s="35">
        <f t="shared" si="10"/>
        <v>14</v>
      </c>
      <c r="L24" t="str">
        <f t="shared" si="2"/>
        <v>Westmorland &amp; Furness</v>
      </c>
      <c r="M24" s="109">
        <f t="shared" si="3"/>
        <v>97.38</v>
      </c>
      <c r="N24" s="104">
        <f t="shared" si="19"/>
        <v>97.38</v>
      </c>
      <c r="O24" s="89">
        <f t="shared" si="20"/>
        <v>97.38</v>
      </c>
      <c r="P24" s="89" t="str">
        <f t="shared" si="21"/>
        <v/>
      </c>
      <c r="Q24" s="89" t="str">
        <f t="shared" si="22"/>
        <v/>
      </c>
      <c r="R24" s="85" t="str">
        <f t="shared" si="23"/>
        <v/>
      </c>
      <c r="S24" s="41" t="str">
        <f t="shared" si="24"/>
        <v/>
      </c>
      <c r="T24" s="166" t="str">
        <f>IF(L24="","",VLOOKUP(L24,classifications!C:K,9,FALSE))</f>
        <v>Sparse</v>
      </c>
      <c r="U24" s="167">
        <f t="shared" si="25"/>
        <v>97.38</v>
      </c>
      <c r="V24" s="173">
        <f>IF(U24="","",IF($I$8="A",(RANK(U24,U$11:U$333)+COUNTIF(U$11:U24,U24)-1),(RANK(U24,U$11:U$333,1)+COUNTIF(U$11:U24,U24)-1)))</f>
        <v>9</v>
      </c>
      <c r="W24" s="174"/>
      <c r="X24" s="5" t="str">
        <f>IF(L24="","",VLOOKUP($L24,classifications!$C:$J,6,FALSE))</f>
        <v xml:space="preserve">Predominantly Rural </v>
      </c>
      <c r="Y24">
        <f t="shared" si="26"/>
        <v>97.38</v>
      </c>
      <c r="Z24" s="39">
        <f>IF(Y24="","",IF(I$8="A",(RANK(Y24,Y$11:Y$333,1)+COUNTIF(Y$11:Y24,Y24)-1),(RANK(Y24,Y$11:Y$333)+COUNTIF(Y$11:Y24,Y24)-1)))</f>
        <v>11</v>
      </c>
      <c r="AA24" s="177" t="str">
        <f>IF(L24="","",VLOOKUP($L24,classifications!C:I,7,FALSE))</f>
        <v>Predominantly Rural</v>
      </c>
      <c r="AB24" s="173" t="str">
        <f t="shared" si="27"/>
        <v/>
      </c>
      <c r="AC24" s="173" t="str">
        <f>IF(AB24="","",IF($I$8="A",(RANK(AB24,AB$11:AB$333)+COUNTIF(AB$11:AB24,AB24)-1),(RANK(AB24,AB$11:AB$333,1)+COUNTIF(AB$11:AB24,AB24)-1)))</f>
        <v/>
      </c>
      <c r="AD24" s="173"/>
      <c r="AE24" s="45">
        <f>IF(I$8="A",(RANK(AG24,AG$11:AG$333,1)+COUNTIF(AG$11:AG24,AG24)-1),(RANK(AG24,AG$11:AG$333)+COUNTIF(AG$11:AG24,AG24)-1))</f>
        <v>14</v>
      </c>
      <c r="AF24" t="str">
        <f>VLOOKUP(Profile!$J$5,Families!$C:$R,2,FALSE)</f>
        <v>Cheshire West &amp; Chester</v>
      </c>
      <c r="AG24" s="15">
        <f t="shared" si="15"/>
        <v>96.98</v>
      </c>
      <c r="AH24" s="46">
        <f t="shared" si="28"/>
        <v>14</v>
      </c>
      <c r="AI24" s="5" t="str">
        <f>IF(L24="","",VLOOKUP($L24,classifications!$C:$J,8,FALSE))</f>
        <v>Unitary</v>
      </c>
      <c r="AJ24" s="42">
        <f t="shared" si="29"/>
        <v>97.38</v>
      </c>
      <c r="AK24" s="39">
        <f>IF(AJ24="","",IF(I$8="A",(RANK(AJ24,AJ$11:AJ$333,1)+COUNTIF(AJ$11:AJ24,AJ24)-1),(RANK(AJ24,AJ$11:AJ$333)+COUNTIF(AJ$11:AJ24,AJ24)-1)))</f>
        <v>14</v>
      </c>
      <c r="AL24" s="3">
        <f t="shared" si="16"/>
        <v>14</v>
      </c>
      <c r="AM24" t="str">
        <f t="shared" si="6"/>
        <v>Westmorland &amp; Furness</v>
      </c>
      <c r="AN24">
        <f t="shared" si="7"/>
        <v>97.38</v>
      </c>
      <c r="AP24" s="5" t="str">
        <f>IF(L24="","",VLOOKUP($L24,classifications!$C:$E,3,FALSE))</f>
        <v>North West</v>
      </c>
      <c r="AQ24" s="42">
        <f t="shared" si="30"/>
        <v>97.38</v>
      </c>
      <c r="AR24" s="39">
        <f>IF(AQ24="","",IF(I$8="A",(RANK(AQ24,AQ$11:AQ$333,1)+COUNTIF(AQ$11:AQ24,AQ24)-1),(RANK(AQ24,AQ$11:AQ$333)+COUNTIF(AQ$11:AQ24,AQ24)-1)))</f>
        <v>2</v>
      </c>
      <c r="AS24" s="3" t="str">
        <f t="shared" si="18"/>
        <v/>
      </c>
      <c r="AT24" s="39" t="str">
        <f t="shared" si="8"/>
        <v/>
      </c>
      <c r="AU24" s="42" t="str">
        <f t="shared" si="9"/>
        <v/>
      </c>
      <c r="AX24">
        <f>HLOOKUP($AX$9&amp;$AX$10,Data!$A$1:$ZT$1975,(MATCH($C24,Data!$A$1:$A$1975,0)),FALSE)</f>
        <v>95.5</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97.13</v>
      </c>
      <c r="G25" s="15"/>
      <c r="H25" s="41">
        <f t="shared" si="1"/>
        <v>97.13</v>
      </c>
      <c r="I25" s="73">
        <f>IF(H25="","",IF($I$8="A",(RANK(H25,H$11:H$333,1)+COUNTIF(H$11:H25,H25)-1),(RANK(H25,H$11:H$333)+COUNTIF(H$11:H25,H25)-1)))</f>
        <v>19</v>
      </c>
      <c r="J25" s="40"/>
      <c r="K25" s="35">
        <f t="shared" si="10"/>
        <v>15</v>
      </c>
      <c r="L25" t="str">
        <f t="shared" si="2"/>
        <v>York</v>
      </c>
      <c r="M25" s="109">
        <f t="shared" si="3"/>
        <v>97.38</v>
      </c>
      <c r="N25" s="104">
        <f t="shared" si="19"/>
        <v>97.38</v>
      </c>
      <c r="O25" s="89">
        <f t="shared" si="20"/>
        <v>97.38</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f>IF(I$8="A",(RANK(AG25,AG$11:AG$333,1)+COUNTIF(AG$11:AG25,AG25)-1),(RANK(AG25,AG$11:AG$333)+COUNTIF(AG$11:AG25,AG25)-1))</f>
        <v>15</v>
      </c>
      <c r="AF25" t="str">
        <f>VLOOKUP(Profile!$J$5,Families!$C:$R,2,FALSE)</f>
        <v>Cheshire West &amp; Chester</v>
      </c>
      <c r="AG25" s="15">
        <f t="shared" si="15"/>
        <v>96.98</v>
      </c>
      <c r="AH25" s="46">
        <f t="shared" si="28"/>
        <v>15</v>
      </c>
      <c r="AI25" s="5" t="str">
        <f>IF(L25="","",VLOOKUP($L25,classifications!$C:$J,8,FALSE))</f>
        <v>Unitary</v>
      </c>
      <c r="AJ25" s="42">
        <f t="shared" si="29"/>
        <v>97.38</v>
      </c>
      <c r="AK25" s="39">
        <f>IF(AJ25="","",IF(I$8="A",(RANK(AJ25,AJ$11:AJ$333,1)+COUNTIF(AJ$11:AJ25,AJ25)-1),(RANK(AJ25,AJ$11:AJ$333)+COUNTIF(AJ$11:AJ25,AJ25)-1)))</f>
        <v>15</v>
      </c>
      <c r="AL25" s="3">
        <f t="shared" si="16"/>
        <v>15</v>
      </c>
      <c r="AM25" t="str">
        <f t="shared" si="6"/>
        <v>York</v>
      </c>
      <c r="AN25">
        <f t="shared" si="7"/>
        <v>97.38</v>
      </c>
      <c r="AP25" s="5" t="str">
        <f>IF(L25="","",VLOOKUP($L25,classifications!$C:$E,3,FALSE))</f>
        <v>Yorkshire &amp; Humberside</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97.13</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96.45</v>
      </c>
      <c r="G26" s="15"/>
      <c r="H26" s="41">
        <f t="shared" si="1"/>
        <v>96.45</v>
      </c>
      <c r="I26" s="73">
        <f>IF(H26="","",IF($I$8="A",(RANK(H26,H$11:H$333,1)+COUNTIF(H$11:H26,H26)-1),(RANK(H26,H$11:H$333)+COUNTIF(H$11:H26,H26)-1)))</f>
        <v>28</v>
      </c>
      <c r="J26" s="40"/>
      <c r="K26" s="35">
        <f t="shared" si="10"/>
        <v>16</v>
      </c>
      <c r="L26" t="str">
        <f t="shared" si="2"/>
        <v>Windsor &amp; Maidenhead</v>
      </c>
      <c r="M26" s="109">
        <f t="shared" si="3"/>
        <v>97.35</v>
      </c>
      <c r="N26" s="104">
        <f t="shared" si="19"/>
        <v>97.35</v>
      </c>
      <c r="O26" s="89">
        <f t="shared" si="20"/>
        <v>97.35</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f>IF(I$8="A",(RANK(AG26,AG$11:AG$333,1)+COUNTIF(AG$11:AG26,AG26)-1),(RANK(AG26,AG$11:AG$333)+COUNTIF(AG$11:AG26,AG26)-1))</f>
        <v>16</v>
      </c>
      <c r="AF26" t="str">
        <f>VLOOKUP(Profile!$J$5,Families!$C:$R,2,FALSE)</f>
        <v>Cheshire West &amp; Chester</v>
      </c>
      <c r="AG26" s="15">
        <f t="shared" si="15"/>
        <v>96.98</v>
      </c>
      <c r="AH26" s="46">
        <f t="shared" si="28"/>
        <v>16</v>
      </c>
      <c r="AI26" s="5" t="str">
        <f>IF(L26="","",VLOOKUP($L26,classifications!$C:$J,8,FALSE))</f>
        <v>Unitary</v>
      </c>
      <c r="AJ26" s="42">
        <f t="shared" si="29"/>
        <v>97.35</v>
      </c>
      <c r="AK26" s="39">
        <f>IF(AJ26="","",IF(I$8="A",(RANK(AJ26,AJ$11:AJ$333,1)+COUNTIF(AJ$11:AJ26,AJ26)-1),(RANK(AJ26,AJ$11:AJ$333)+COUNTIF(AJ$11:AJ26,AJ26)-1)))</f>
        <v>16</v>
      </c>
      <c r="AL26" s="3">
        <f t="shared" si="16"/>
        <v>16</v>
      </c>
      <c r="AM26" t="str">
        <f t="shared" si="6"/>
        <v>Windsor &amp; Maidenhead</v>
      </c>
      <c r="AN26">
        <f t="shared" si="7"/>
        <v>97.35</v>
      </c>
      <c r="AP26" s="5" t="str">
        <f>IF(L26="","",VLOOKUP($L26,classifications!$C:$E,3,FALSE))</f>
        <v>South East</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96.45</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95.35</v>
      </c>
      <c r="G27" s="15"/>
      <c r="H27" s="41" t="str">
        <f t="shared" si="1"/>
        <v/>
      </c>
      <c r="I27" s="73" t="str">
        <f>IF(H27="","",IF($I$8="A",(RANK(H27,H$11:H$333,1)+COUNTIF(H$11:H27,H27)-1),(RANK(H27,H$11:H$333)+COUNTIF(H$11:H27,H27)-1)))</f>
        <v/>
      </c>
      <c r="J27" s="40"/>
      <c r="K27" s="35">
        <f t="shared" si="10"/>
        <v>17</v>
      </c>
      <c r="L27" t="str">
        <f t="shared" si="2"/>
        <v>Telford &amp; Wrekin</v>
      </c>
      <c r="M27" s="109">
        <f t="shared" si="3"/>
        <v>97.31</v>
      </c>
      <c r="N27" s="104">
        <f t="shared" si="19"/>
        <v>97.31</v>
      </c>
      <c r="O27" s="89" t="str">
        <f t="shared" si="20"/>
        <v/>
      </c>
      <c r="P27" s="89">
        <f t="shared" si="21"/>
        <v>97.31</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f>IF(I$8="A",(RANK(AG27,AG$11:AG$333,1)+COUNTIF(AG$11:AG27,AG27)-1),(RANK(AG27,AG$11:AG$333)+COUNTIF(AG$11:AG27,AG27)-1))</f>
        <v>17</v>
      </c>
      <c r="AF27" t="str">
        <f>VLOOKUP(Profile!$J$5,Families!$C:$R,2,FALSE)</f>
        <v>Cheshire West &amp; Chester</v>
      </c>
      <c r="AG27" s="15">
        <f t="shared" si="15"/>
        <v>96.98</v>
      </c>
      <c r="AH27" s="46">
        <f t="shared" si="28"/>
        <v>17</v>
      </c>
      <c r="AI27" s="5" t="str">
        <f>IF(L27="","",VLOOKUP($L27,classifications!$C:$J,8,FALSE))</f>
        <v>Unitary</v>
      </c>
      <c r="AJ27" s="42">
        <f t="shared" si="29"/>
        <v>97.31</v>
      </c>
      <c r="AK27" s="39">
        <f>IF(AJ27="","",IF(I$8="A",(RANK(AJ27,AJ$11:AJ$333,1)+COUNTIF(AJ$11:AJ27,AJ27)-1),(RANK(AJ27,AJ$11:AJ$333)+COUNTIF(AJ$11:AJ27,AJ27)-1)))</f>
        <v>17</v>
      </c>
      <c r="AL27" s="3">
        <f t="shared" si="16"/>
        <v>17</v>
      </c>
      <c r="AM27" t="str">
        <f t="shared" si="6"/>
        <v>Telford &amp; Wrekin</v>
      </c>
      <c r="AN27">
        <f t="shared" si="7"/>
        <v>97.31</v>
      </c>
      <c r="AP27" s="5" t="str">
        <f>IF(L27="","",VLOOKUP($L27,classifications!$C:$E,3,FALSE))</f>
        <v>West Midlands</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95.35</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90.91</v>
      </c>
      <c r="G28" s="15"/>
      <c r="H28" s="41" t="str">
        <f t="shared" si="1"/>
        <v/>
      </c>
      <c r="I28" s="73" t="str">
        <f>IF(H28="","",IF($I$8="A",(RANK(H28,H$11:H$333,1)+COUNTIF(H$11:H28,H28)-1),(RANK(H28,H$11:H$333)+COUNTIF(H$11:H28,H28)-1)))</f>
        <v/>
      </c>
      <c r="J28" s="40"/>
      <c r="K28" s="35">
        <f t="shared" si="10"/>
        <v>18</v>
      </c>
      <c r="L28" t="str">
        <f t="shared" si="2"/>
        <v>South Gloucestershire</v>
      </c>
      <c r="M28" s="109">
        <f t="shared" si="3"/>
        <v>97.24</v>
      </c>
      <c r="N28" s="104">
        <f t="shared" si="19"/>
        <v>97.24</v>
      </c>
      <c r="O28" s="89" t="str">
        <f t="shared" si="20"/>
        <v/>
      </c>
      <c r="P28" s="89">
        <f t="shared" si="21"/>
        <v>97.24</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f>IF(I$8="A",(RANK(AG28,AG$11:AG$333,1)+COUNTIF(AG$11:AG28,AG28)-1),(RANK(AG28,AG$11:AG$333)+COUNTIF(AG$11:AG28,AG28)-1))</f>
        <v>18</v>
      </c>
      <c r="AF28" t="str">
        <f>VLOOKUP(Profile!$J$5,Families!$C:$R,2,FALSE)</f>
        <v>Cheshire West &amp; Chester</v>
      </c>
      <c r="AG28" s="15">
        <f t="shared" si="15"/>
        <v>96.98</v>
      </c>
      <c r="AH28" s="46">
        <f t="shared" si="28"/>
        <v>18</v>
      </c>
      <c r="AI28" s="5" t="str">
        <f>IF(L28="","",VLOOKUP($L28,classifications!$C:$J,8,FALSE))</f>
        <v>Unitary</v>
      </c>
      <c r="AJ28" s="42">
        <f t="shared" si="29"/>
        <v>97.24</v>
      </c>
      <c r="AK28" s="39">
        <f>IF(AJ28="","",IF(I$8="A",(RANK(AJ28,AJ$11:AJ$333,1)+COUNTIF(AJ$11:AJ28,AJ28)-1),(RANK(AJ28,AJ$11:AJ$333)+COUNTIF(AJ$11:AJ28,AJ28)-1)))</f>
        <v>18</v>
      </c>
      <c r="AL28" s="3">
        <f t="shared" si="16"/>
        <v>18</v>
      </c>
      <c r="AM28" t="str">
        <f t="shared" si="6"/>
        <v>South Gloucestershire</v>
      </c>
      <c r="AN28">
        <f t="shared" si="7"/>
        <v>97.24</v>
      </c>
      <c r="AP28" s="5" t="str">
        <f>IF(L28="","",VLOOKUP($L28,classifications!$C:$E,3,FALSE))</f>
        <v>South West</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90.91</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97.35</v>
      </c>
      <c r="G29" s="15"/>
      <c r="H29" s="41" t="str">
        <f t="shared" si="1"/>
        <v/>
      </c>
      <c r="I29" s="73" t="str">
        <f>IF(H29="","",IF($I$8="A",(RANK(H29,H$11:H$333,1)+COUNTIF(H$11:H29,H29)-1),(RANK(H29,H$11:H$333)+COUNTIF(H$11:H29,H29)-1)))</f>
        <v/>
      </c>
      <c r="J29" s="40"/>
      <c r="K29" s="35">
        <f t="shared" si="10"/>
        <v>19</v>
      </c>
      <c r="L29" t="str">
        <f t="shared" si="2"/>
        <v>Bath &amp; North East Somerset</v>
      </c>
      <c r="M29" s="109">
        <f t="shared" si="3"/>
        <v>97.13</v>
      </c>
      <c r="N29" s="104">
        <f t="shared" si="19"/>
        <v>97.13</v>
      </c>
      <c r="O29" s="89" t="str">
        <f t="shared" si="20"/>
        <v/>
      </c>
      <c r="P29" s="89">
        <f t="shared" si="21"/>
        <v>97.13</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Urban with Significant Rural</v>
      </c>
      <c r="Y29">
        <f t="shared" si="26"/>
        <v>97.13</v>
      </c>
      <c r="Z29" s="39">
        <f>IF(Y29="","",IF(I$8="A",(RANK(Y29,Y$11:Y$333,1)+COUNTIF(Y$11:Y29,Y29)-1),(RANK(Y29,Y$11:Y$333)+COUNTIF(Y$11:Y29,Y29)-1)))</f>
        <v>12</v>
      </c>
      <c r="AA29" s="177" t="str">
        <f>IF(L29="","",VLOOKUP($L29,classifications!C:I,7,FALSE))</f>
        <v>Urban with Significant Rural</v>
      </c>
      <c r="AB29" s="173">
        <f t="shared" si="27"/>
        <v>97.13</v>
      </c>
      <c r="AC29" s="173">
        <f>IF(AB29="","",IF($I$8="A",(RANK(AB29,AB$11:AB$333)+COUNTIF(AB$11:AB29,AB29)-1),(RANK(AB29,AB$11:AB$333,1)+COUNTIF(AB$11:AB29,AB29)-1)))</f>
        <v>7</v>
      </c>
      <c r="AD29" s="173"/>
      <c r="AE29" s="45">
        <f>IF(I$8="A",(RANK(AG29,AG$11:AG$333,1)+COUNTIF(AG$11:AG29,AG29)-1),(RANK(AG29,AG$11:AG$333)+COUNTIF(AG$11:AG29,AG29)-1))</f>
        <v>19</v>
      </c>
      <c r="AF29" t="str">
        <f>VLOOKUP(Profile!$J$5,Families!$C:$R,2,FALSE)</f>
        <v>Cheshire West &amp; Chester</v>
      </c>
      <c r="AG29" s="15">
        <f t="shared" si="15"/>
        <v>96.98</v>
      </c>
      <c r="AH29" s="46">
        <f t="shared" si="28"/>
        <v>19</v>
      </c>
      <c r="AI29" s="5" t="str">
        <f>IF(L29="","",VLOOKUP($L29,classifications!$C:$J,8,FALSE))</f>
        <v>Unitary</v>
      </c>
      <c r="AJ29" s="42">
        <f t="shared" si="29"/>
        <v>97.13</v>
      </c>
      <c r="AK29" s="39">
        <f>IF(AJ29="","",IF(I$8="A",(RANK(AJ29,AJ$11:AJ$333,1)+COUNTIF(AJ$11:AJ29,AJ29)-1),(RANK(AJ29,AJ$11:AJ$333)+COUNTIF(AJ$11:AJ29,AJ29)-1)))</f>
        <v>19</v>
      </c>
      <c r="AL29" s="3">
        <f t="shared" si="16"/>
        <v>19</v>
      </c>
      <c r="AM29" t="str">
        <f t="shared" si="6"/>
        <v>Bath &amp; North East Somerset</v>
      </c>
      <c r="AN29">
        <f t="shared" si="7"/>
        <v>97.13</v>
      </c>
      <c r="AP29" s="5" t="str">
        <f>IF(L29="","",VLOOKUP($L29,classifications!$C:$E,3,FALSE))</f>
        <v>South West</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97.35</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95.3</v>
      </c>
      <c r="G30" s="15"/>
      <c r="H30" s="41">
        <f t="shared" si="1"/>
        <v>95.3</v>
      </c>
      <c r="I30" s="73">
        <f>IF(H30="","",IF($I$8="A",(RANK(H30,H$11:H$333,1)+COUNTIF(H$11:H30,H30)-1),(RANK(H30,H$11:H$333)+COUNTIF(H$11:H30,H30)-1)))</f>
        <v>42</v>
      </c>
      <c r="J30" s="40"/>
      <c r="K30" s="35">
        <f t="shared" si="10"/>
        <v>20</v>
      </c>
      <c r="L30" t="str">
        <f t="shared" si="2"/>
        <v>Milton Keynes</v>
      </c>
      <c r="M30" s="109">
        <f t="shared" si="3"/>
        <v>97.1</v>
      </c>
      <c r="N30" s="104">
        <f t="shared" si="19"/>
        <v>97.1</v>
      </c>
      <c r="O30" s="89" t="str">
        <f t="shared" si="20"/>
        <v/>
      </c>
      <c r="P30" s="89">
        <f t="shared" si="21"/>
        <v>97.1</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96.98</v>
      </c>
      <c r="AH30" s="46">
        <f t="shared" si="28"/>
        <v>20</v>
      </c>
      <c r="AI30" s="5" t="str">
        <f>IF(L30="","",VLOOKUP($L30,classifications!$C:$J,8,FALSE))</f>
        <v>Unitary</v>
      </c>
      <c r="AJ30" s="42">
        <f t="shared" si="29"/>
        <v>97.1</v>
      </c>
      <c r="AK30" s="39">
        <f>IF(AJ30="","",IF(I$8="A",(RANK(AJ30,AJ$11:AJ$333,1)+COUNTIF(AJ$11:AJ30,AJ30)-1),(RANK(AJ30,AJ$11:AJ$333)+COUNTIF(AJ$11:AJ30,AJ30)-1)))</f>
        <v>20</v>
      </c>
      <c r="AL30" s="3">
        <f t="shared" si="16"/>
        <v>20</v>
      </c>
      <c r="AM30" t="str">
        <f t="shared" si="6"/>
        <v>Milton Keynes</v>
      </c>
      <c r="AN30">
        <f t="shared" si="7"/>
        <v>97.1</v>
      </c>
      <c r="AP30" s="5" t="str">
        <f>IF(L30="","",VLOOKUP($L30,classifications!$C:$E,3,FALSE))</f>
        <v>South East</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95.3</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88.97</v>
      </c>
      <c r="G31" s="15"/>
      <c r="H31" s="41">
        <f t="shared" si="1"/>
        <v>88.97</v>
      </c>
      <c r="I31" s="73">
        <f>IF(H31="","",IF($I$8="A",(RANK(H31,H$11:H$333,1)+COUNTIF(H$11:H31,H31)-1),(RANK(H31,H$11:H$333)+COUNTIF(H$11:H31,H31)-1)))</f>
        <v>62</v>
      </c>
      <c r="J31" s="40"/>
      <c r="K31" s="35">
        <f t="shared" si="10"/>
        <v>21</v>
      </c>
      <c r="L31" t="str">
        <f t="shared" si="2"/>
        <v>Bracknell Forest</v>
      </c>
      <c r="M31" s="109">
        <f t="shared" si="3"/>
        <v>97.07</v>
      </c>
      <c r="N31" s="104">
        <f t="shared" si="19"/>
        <v>97.07</v>
      </c>
      <c r="O31" s="89" t="str">
        <f t="shared" si="20"/>
        <v/>
      </c>
      <c r="P31" s="89">
        <f t="shared" si="21"/>
        <v>97.07</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21</v>
      </c>
      <c r="AF31" t="str">
        <f>VLOOKUP(Profile!$J$5,Families!$C:$R,2,FALSE)</f>
        <v>Cheshire West &amp; Chester</v>
      </c>
      <c r="AG31" s="15">
        <f t="shared" si="15"/>
        <v>96.98</v>
      </c>
      <c r="AH31" s="46">
        <f t="shared" si="28"/>
        <v>21</v>
      </c>
      <c r="AI31" s="5" t="str">
        <f>IF(L31="","",VLOOKUP($L31,classifications!$C:$J,8,FALSE))</f>
        <v>Unitary</v>
      </c>
      <c r="AJ31" s="42">
        <f t="shared" si="29"/>
        <v>97.07</v>
      </c>
      <c r="AK31" s="39">
        <f>IF(AJ31="","",IF(I$8="A",(RANK(AJ31,AJ$11:AJ$333,1)+COUNTIF(AJ$11:AJ31,AJ31)-1),(RANK(AJ31,AJ$11:AJ$333)+COUNTIF(AJ$11:AJ31,AJ31)-1)))</f>
        <v>21</v>
      </c>
      <c r="AL31" s="3">
        <f t="shared" si="16"/>
        <v>21</v>
      </c>
      <c r="AM31" t="str">
        <f t="shared" si="6"/>
        <v>Bracknell Forest</v>
      </c>
      <c r="AN31">
        <f t="shared" si="7"/>
        <v>97.07</v>
      </c>
      <c r="AP31" s="5" t="str">
        <f>IF(L31="","",VLOOKUP($L31,classifications!$C:$E,3,FALSE))</f>
        <v>South East</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88.97</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96.65</v>
      </c>
      <c r="G32" s="15"/>
      <c r="H32" s="41" t="str">
        <f t="shared" si="1"/>
        <v/>
      </c>
      <c r="I32" s="73" t="str">
        <f>IF(H32="","",IF($I$8="A",(RANK(H32,H$11:H$333,1)+COUNTIF(H$11:H32,H32)-1),(RANK(H32,H$11:H$333)+COUNTIF(H$11:H32,H32)-1)))</f>
        <v/>
      </c>
      <c r="J32" s="40"/>
      <c r="K32" s="35">
        <f t="shared" si="10"/>
        <v>22</v>
      </c>
      <c r="L32" t="str">
        <f t="shared" si="2"/>
        <v>East Riding of Yorkshire</v>
      </c>
      <c r="M32" s="109">
        <f t="shared" si="3"/>
        <v>97.03</v>
      </c>
      <c r="N32" s="104">
        <f t="shared" si="19"/>
        <v>97.03</v>
      </c>
      <c r="O32" s="89" t="str">
        <f t="shared" si="20"/>
        <v/>
      </c>
      <c r="P32" s="89">
        <f t="shared" si="21"/>
        <v>97.03</v>
      </c>
      <c r="Q32" s="89" t="str">
        <f t="shared" si="22"/>
        <v/>
      </c>
      <c r="R32" s="85" t="str">
        <f t="shared" si="23"/>
        <v/>
      </c>
      <c r="S32" s="41" t="str">
        <f t="shared" si="24"/>
        <v/>
      </c>
      <c r="T32" s="166" t="str">
        <f>IF(L32="","",VLOOKUP(L32,classifications!C:K,9,FALSE))</f>
        <v>Sparse</v>
      </c>
      <c r="U32" s="167">
        <f t="shared" si="25"/>
        <v>97.03</v>
      </c>
      <c r="V32" s="173">
        <f>IF(U32="","",IF($I$8="A",(RANK(U32,U$11:U$333)+COUNTIF(U$11:U32,U32)-1),(RANK(U32,U$11:U$333,1)+COUNTIF(U$11:U32,U32)-1)))</f>
        <v>8</v>
      </c>
      <c r="W32" s="174"/>
      <c r="X32" s="5" t="str">
        <f>IF(L32="","",VLOOKUP($L32,classifications!$C:$J,6,FALSE))</f>
        <v xml:space="preserve">Predominantly Rural </v>
      </c>
      <c r="Y32">
        <f t="shared" si="26"/>
        <v>97.03</v>
      </c>
      <c r="Z32" s="39">
        <f>IF(Y32="","",IF(I$8="A",(RANK(Y32,Y$11:Y$333,1)+COUNTIF(Y$11:Y32,Y32)-1),(RANK(Y32,Y$11:Y$333)+COUNTIF(Y$11:Y32,Y32)-1)))</f>
        <v>13</v>
      </c>
      <c r="AA32" s="177" t="str">
        <f>IF(L32="","",VLOOKUP($L32,classifications!C:I,7,FALSE))</f>
        <v>Predominantly Rural</v>
      </c>
      <c r="AB32" s="173" t="str">
        <f t="shared" si="27"/>
        <v/>
      </c>
      <c r="AC32" s="173" t="str">
        <f>IF(AB32="","",IF($I$8="A",(RANK(AB32,AB$11:AB$333)+COUNTIF(AB$11:AB32,AB32)-1),(RANK(AB32,AB$11:AB$333,1)+COUNTIF(AB$11:AB32,AB32)-1)))</f>
        <v/>
      </c>
      <c r="AD32" s="173"/>
      <c r="AE32" s="45">
        <f>IF(I$8="A",(RANK(AG32,AG$11:AG$333,1)+COUNTIF(AG$11:AG32,AG32)-1),(RANK(AG32,AG$11:AG$333)+COUNTIF(AG$11:AG32,AG32)-1))</f>
        <v>22</v>
      </c>
      <c r="AF32" t="str">
        <f>VLOOKUP(Profile!$J$5,Families!$C:$R,2,FALSE)</f>
        <v>Cheshire West &amp; Chester</v>
      </c>
      <c r="AG32" s="15">
        <f t="shared" si="15"/>
        <v>96.98</v>
      </c>
      <c r="AH32" s="46">
        <f t="shared" si="28"/>
        <v>22</v>
      </c>
      <c r="AI32" s="5" t="str">
        <f>IF(L32="","",VLOOKUP($L32,classifications!$C:$J,8,FALSE))</f>
        <v>Unitary</v>
      </c>
      <c r="AJ32" s="42">
        <f t="shared" si="29"/>
        <v>97.03</v>
      </c>
      <c r="AK32" s="39">
        <f>IF(AJ32="","",IF(I$8="A",(RANK(AJ32,AJ$11:AJ$333,1)+COUNTIF(AJ$11:AJ32,AJ32)-1),(RANK(AJ32,AJ$11:AJ$333)+COUNTIF(AJ$11:AJ32,AJ32)-1)))</f>
        <v>22</v>
      </c>
      <c r="AL32" s="3">
        <f t="shared" si="16"/>
        <v>22</v>
      </c>
      <c r="AM32" t="str">
        <f t="shared" si="6"/>
        <v>East Riding of Yorkshire</v>
      </c>
      <c r="AN32">
        <f t="shared" si="7"/>
        <v>97.03</v>
      </c>
      <c r="AP32" s="5" t="str">
        <f>IF(L32="","",VLOOKUP($L32,classifications!$C:$E,3,FALSE))</f>
        <v>Yorkshire &amp; Humberside</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96.65</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93.84</v>
      </c>
      <c r="G33" s="15"/>
      <c r="H33" s="41" t="str">
        <f t="shared" si="1"/>
        <v/>
      </c>
      <c r="I33" s="73" t="str">
        <f>IF(H33="","",IF($I$8="A",(RANK(H33,H$11:H$333,1)+COUNTIF(H$11:H33,H33)-1),(RANK(H33,H$11:H$333)+COUNTIF(H$11:H33,H33)-1)))</f>
        <v/>
      </c>
      <c r="J33" s="40"/>
      <c r="K33" s="35">
        <f t="shared" si="10"/>
        <v>23</v>
      </c>
      <c r="L33" t="str">
        <f t="shared" si="2"/>
        <v>Cornwall</v>
      </c>
      <c r="M33" s="109">
        <f t="shared" si="3"/>
        <v>97</v>
      </c>
      <c r="N33" s="104">
        <f t="shared" si="19"/>
        <v>97</v>
      </c>
      <c r="O33" s="89" t="str">
        <f t="shared" si="20"/>
        <v/>
      </c>
      <c r="P33" s="89">
        <f t="shared" si="21"/>
        <v>97</v>
      </c>
      <c r="Q33" s="89" t="str">
        <f t="shared" si="22"/>
        <v/>
      </c>
      <c r="R33" s="85" t="str">
        <f t="shared" si="23"/>
        <v/>
      </c>
      <c r="S33" s="41" t="str">
        <f t="shared" si="24"/>
        <v/>
      </c>
      <c r="T33" s="166" t="str">
        <f>IF(L33="","",VLOOKUP(L33,classifications!C:K,9,FALSE))</f>
        <v>Sparse</v>
      </c>
      <c r="U33" s="167">
        <f t="shared" si="25"/>
        <v>97</v>
      </c>
      <c r="V33" s="173">
        <f>IF(U33="","",IF($I$8="A",(RANK(U33,U$11:U$333)+COUNTIF(U$11:U33,U33)-1),(RANK(U33,U$11:U$333,1)+COUNTIF(U$11:U33,U33)-1)))</f>
        <v>7</v>
      </c>
      <c r="W33" s="174"/>
      <c r="X33" s="5" t="str">
        <f>IF(L33="","",VLOOKUP($L33,classifications!$C:$J,6,FALSE))</f>
        <v xml:space="preserve">Predominantly Rural </v>
      </c>
      <c r="Y33">
        <f t="shared" si="26"/>
        <v>97</v>
      </c>
      <c r="Z33" s="39">
        <f>IF(Y33="","",IF(I$8="A",(RANK(Y33,Y$11:Y$333,1)+COUNTIF(Y$11:Y33,Y33)-1),(RANK(Y33,Y$11:Y$333)+COUNTIF(Y$11:Y33,Y33)-1)))</f>
        <v>14</v>
      </c>
      <c r="AA33" s="177" t="str">
        <f>IF(L33="","",VLOOKUP($L33,classifications!C:I,7,FALSE))</f>
        <v>Predominantly Rural</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96.98</v>
      </c>
      <c r="AH33" s="46">
        <f t="shared" si="28"/>
        <v>23</v>
      </c>
      <c r="AI33" s="5" t="str">
        <f>IF(L33="","",VLOOKUP($L33,classifications!$C:$J,8,FALSE))</f>
        <v>Unitary</v>
      </c>
      <c r="AJ33" s="42">
        <f t="shared" si="29"/>
        <v>97</v>
      </c>
      <c r="AK33" s="39">
        <f>IF(AJ33="","",IF(I$8="A",(RANK(AJ33,AJ$11:AJ$333,1)+COUNTIF(AJ$11:AJ33,AJ33)-1),(RANK(AJ33,AJ$11:AJ$333)+COUNTIF(AJ$11:AJ33,AJ33)-1)))</f>
        <v>23</v>
      </c>
      <c r="AL33" s="3">
        <f t="shared" si="16"/>
        <v>23</v>
      </c>
      <c r="AM33" t="str">
        <f t="shared" si="6"/>
        <v>Cornwall</v>
      </c>
      <c r="AN33">
        <f t="shared" si="7"/>
        <v>97</v>
      </c>
      <c r="AP33" s="5" t="str">
        <f>IF(L33="","",VLOOKUP($L33,classifications!$C:$E,3,FALSE))</f>
        <v>South West</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93.84</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93.37</v>
      </c>
      <c r="G34" s="15"/>
      <c r="H34" s="41" t="str">
        <f t="shared" si="1"/>
        <v/>
      </c>
      <c r="I34" s="73" t="str">
        <f>IF(H34="","",IF($I$8="A",(RANK(H34,H$11:H$333,1)+COUNTIF(H$11:H34,H34)-1),(RANK(H34,H$11:H$333)+COUNTIF(H$11:H34,H34)-1)))</f>
        <v/>
      </c>
      <c r="J34" s="40"/>
      <c r="K34" s="35">
        <f t="shared" si="10"/>
        <v>24</v>
      </c>
      <c r="L34" t="str">
        <f t="shared" si="2"/>
        <v>Cheshire West &amp; Chester</v>
      </c>
      <c r="M34" s="109">
        <f t="shared" si="3"/>
        <v>96.98</v>
      </c>
      <c r="N34" s="104">
        <f t="shared" si="19"/>
        <v>96.98</v>
      </c>
      <c r="O34" s="89" t="str">
        <f t="shared" si="20"/>
        <v/>
      </c>
      <c r="P34" s="89">
        <f t="shared" si="21"/>
        <v>96.98</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Urban with Significant Rural</v>
      </c>
      <c r="Y34">
        <f t="shared" si="26"/>
        <v>96.98</v>
      </c>
      <c r="Z34" s="39">
        <f>IF(Y34="","",IF(I$8="A",(RANK(Y34,Y$11:Y$333,1)+COUNTIF(Y$11:Y34,Y34)-1),(RANK(Y34,Y$11:Y$333)+COUNTIF(Y$11:Y34,Y34)-1)))</f>
        <v>15</v>
      </c>
      <c r="AA34" s="177" t="str">
        <f>IF(L34="","",VLOOKUP($L34,classifications!C:I,7,FALSE))</f>
        <v>Urban with Significant Rural</v>
      </c>
      <c r="AB34" s="173">
        <f t="shared" si="27"/>
        <v>96.98</v>
      </c>
      <c r="AC34" s="173">
        <f>IF(AB34="","",IF($I$8="A",(RANK(AB34,AB$11:AB$333)+COUNTIF(AB$11:AB34,AB34)-1),(RANK(AB34,AB$11:AB$333,1)+COUNTIF(AB$11:AB34,AB34)-1)))</f>
        <v>6</v>
      </c>
      <c r="AD34" s="173"/>
      <c r="AE34" s="45">
        <f>IF(I$8="A",(RANK(AG34,AG$11:AG$333,1)+COUNTIF(AG$11:AG34,AG34)-1),(RANK(AG34,AG$11:AG$333)+COUNTIF(AG$11:AG34,AG34)-1))</f>
        <v>24</v>
      </c>
      <c r="AF34" t="str">
        <f>VLOOKUP(Profile!$J$5,Families!$C:$R,2,FALSE)</f>
        <v>Cheshire West &amp; Chester</v>
      </c>
      <c r="AG34" s="15">
        <f t="shared" si="15"/>
        <v>96.98</v>
      </c>
      <c r="AH34" s="46">
        <f t="shared" si="28"/>
        <v>24</v>
      </c>
      <c r="AI34" s="5" t="str">
        <f>IF(L34="","",VLOOKUP($L34,classifications!$C:$J,8,FALSE))</f>
        <v>Unitary</v>
      </c>
      <c r="AJ34" s="42">
        <f t="shared" si="29"/>
        <v>96.98</v>
      </c>
      <c r="AK34" s="39">
        <f>IF(AJ34="","",IF(I$8="A",(RANK(AJ34,AJ$11:AJ$333,1)+COUNTIF(AJ$11:AJ34,AJ34)-1),(RANK(AJ34,AJ$11:AJ$333)+COUNTIF(AJ$11:AJ34,AJ34)-1)))</f>
        <v>24</v>
      </c>
      <c r="AL34" s="3">
        <f t="shared" si="16"/>
        <v>24</v>
      </c>
      <c r="AM34" t="str">
        <f t="shared" si="6"/>
        <v>Cheshire West &amp; Chester</v>
      </c>
      <c r="AN34">
        <f t="shared" si="7"/>
        <v>96.98</v>
      </c>
      <c r="AP34" s="5" t="str">
        <f>IF(L34="","",VLOOKUP($L34,classifications!$C:$E,3,FALSE))</f>
        <v>North West</v>
      </c>
      <c r="AQ34" s="42">
        <f t="shared" si="30"/>
        <v>96.98</v>
      </c>
      <c r="AR34" s="39">
        <f>IF(AQ34="","",IF(I$8="A",(RANK(AQ34,AQ$11:AQ$333,1)+COUNTIF(AQ$11:AQ34,AQ34)-1),(RANK(AQ34,AQ$11:AQ$333)+COUNTIF(AQ$11:AQ34,AQ34)-1)))</f>
        <v>3</v>
      </c>
      <c r="AS34" s="3" t="str">
        <f t="shared" si="18"/>
        <v/>
      </c>
      <c r="AT34" s="39" t="str">
        <f t="shared" si="8"/>
        <v/>
      </c>
      <c r="AU34" s="42" t="str">
        <f t="shared" si="9"/>
        <v/>
      </c>
      <c r="AX34">
        <f>HLOOKUP($AX$9&amp;$AX$10,Data!$A$1:$ZT$1975,(MATCH($C34,Data!$A$1:$A$1975,0)),FALSE)</f>
        <v>93.37</v>
      </c>
    </row>
    <row r="35" spans="1:50">
      <c r="A35" s="55" t="str">
        <f>$D$1&amp;25</f>
        <v>UA25</v>
      </c>
      <c r="B35" s="56">
        <f>IF(ISERROR(VLOOKUP(A35,classifications!A:C,3,FALSE)),0,VLOOKUP(A35,classifications!A:C,3,FALSE))</f>
        <v>0</v>
      </c>
      <c r="C35" t="s">
        <v>896</v>
      </c>
      <c r="D35" t="str">
        <f>VLOOKUP($C35,classifications!$C:$J,4,FALSE)</f>
        <v>UA</v>
      </c>
      <c r="E35">
        <f>VLOOKUP(C35,classifications!C:K,9,FALSE)</f>
        <v>0</v>
      </c>
      <c r="F35">
        <f t="shared" si="0"/>
        <v>96.29</v>
      </c>
      <c r="G35" s="15"/>
      <c r="H35" s="41">
        <f t="shared" si="1"/>
        <v>96.29</v>
      </c>
      <c r="I35" s="73">
        <f>IF(H35="","",IF($I$8="A",(RANK(H35,H$11:H$333,1)+COUNTIF(H$11:H35,H35)-1),(RANK(H35,H$11:H$333)+COUNTIF(H$11:H35,H35)-1)))</f>
        <v>32</v>
      </c>
      <c r="J35" s="40"/>
      <c r="K35" s="35">
        <f t="shared" si="10"/>
        <v>25</v>
      </c>
      <c r="L35" t="str">
        <f t="shared" si="2"/>
        <v>Northumberland</v>
      </c>
      <c r="M35" s="109">
        <f t="shared" si="3"/>
        <v>96.69</v>
      </c>
      <c r="N35" s="104">
        <f t="shared" si="19"/>
        <v>96.69</v>
      </c>
      <c r="O35" s="89" t="str">
        <f t="shared" si="20"/>
        <v/>
      </c>
      <c r="P35" s="89">
        <f t="shared" si="21"/>
        <v>96.69</v>
      </c>
      <c r="Q35" s="89" t="str">
        <f t="shared" si="22"/>
        <v/>
      </c>
      <c r="R35" s="85" t="str">
        <f t="shared" si="23"/>
        <v/>
      </c>
      <c r="S35" s="41" t="str">
        <f t="shared" si="24"/>
        <v/>
      </c>
      <c r="T35" s="166" t="str">
        <f>IF(L35="","",VLOOKUP(L35,classifications!C:K,9,FALSE))</f>
        <v>Sparse</v>
      </c>
      <c r="U35" s="167">
        <f t="shared" si="25"/>
        <v>96.69</v>
      </c>
      <c r="V35" s="173">
        <f>IF(U35="","",IF($I$8="A",(RANK(U35,U$11:U$333)+COUNTIF(U$11:U35,U35)-1),(RANK(U35,U$11:U$333,1)+COUNTIF(U$11:U35,U35)-1)))</f>
        <v>6</v>
      </c>
      <c r="W35" s="174"/>
      <c r="X35" s="5" t="str">
        <f>IF(L35="","",VLOOKUP($L35,classifications!$C:$J,6,FALSE))</f>
        <v xml:space="preserve">Predominantly Rural </v>
      </c>
      <c r="Y35">
        <f t="shared" si="26"/>
        <v>96.69</v>
      </c>
      <c r="Z35" s="39">
        <f>IF(Y35="","",IF(I$8="A",(RANK(Y35,Y$11:Y$333,1)+COUNTIF(Y$11:Y35,Y35)-1),(RANK(Y35,Y$11:Y$333)+COUNTIF(Y$11:Y35,Y35)-1)))</f>
        <v>16</v>
      </c>
      <c r="AA35" s="177" t="str">
        <f>IF(L35="","",VLOOKUP($L35,classifications!C:I,7,FALSE))</f>
        <v>Predominantly Rural</v>
      </c>
      <c r="AB35" s="173" t="str">
        <f t="shared" si="27"/>
        <v/>
      </c>
      <c r="AC35" s="173" t="str">
        <f>IF(AB35="","",IF($I$8="A",(RANK(AB35,AB$11:AB$333)+COUNTIF(AB$11:AB35,AB35)-1),(RANK(AB35,AB$11:AB$333,1)+COUNTIF(AB$11:AB35,AB35)-1)))</f>
        <v/>
      </c>
      <c r="AD35" s="173"/>
      <c r="AE35" s="45">
        <f>IF(I$8="A",(RANK(AG35,AG$11:AG$333,1)+COUNTIF(AG$11:AG35,AG35)-1),(RANK(AG35,AG$11:AG$333)+COUNTIF(AG$11:AG35,AG35)-1))</f>
        <v>25</v>
      </c>
      <c r="AF35" t="str">
        <f>VLOOKUP(Profile!$J$5,Families!$C:$R,2,FALSE)</f>
        <v>Cheshire West &amp; Chester</v>
      </c>
      <c r="AG35" s="15">
        <f t="shared" si="15"/>
        <v>96.98</v>
      </c>
      <c r="AH35" s="46">
        <f t="shared" si="28"/>
        <v>25</v>
      </c>
      <c r="AI35" s="5" t="str">
        <f>IF(L35="","",VLOOKUP($L35,classifications!$C:$J,8,FALSE))</f>
        <v>Unitary</v>
      </c>
      <c r="AJ35" s="42">
        <f t="shared" si="29"/>
        <v>96.69</v>
      </c>
      <c r="AK35" s="39">
        <f>IF(AJ35="","",IF(I$8="A",(RANK(AJ35,AJ$11:AJ$333,1)+COUNTIF(AJ$11:AJ35,AJ35)-1),(RANK(AJ35,AJ$11:AJ$333)+COUNTIF(AJ$11:AJ35,AJ35)-1)))</f>
        <v>25</v>
      </c>
      <c r="AL35" s="3">
        <f t="shared" si="16"/>
        <v>25</v>
      </c>
      <c r="AM35" t="str">
        <f t="shared" si="6"/>
        <v>Northumberland</v>
      </c>
      <c r="AN35">
        <f t="shared" si="7"/>
        <v>96.69</v>
      </c>
      <c r="AP35" s="5" t="str">
        <f>IF(L35="","",VLOOKUP($L35,classifications!$C:$E,3,FALSE))</f>
        <v>NE</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96.29</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97.07</v>
      </c>
      <c r="G36" s="15"/>
      <c r="H36" s="41">
        <f t="shared" si="1"/>
        <v>97.07</v>
      </c>
      <c r="I36" s="73">
        <f>IF(H36="","",IF($I$8="A",(RANK(H36,H$11:H$333,1)+COUNTIF(H$11:H36,H36)-1),(RANK(H36,H$11:H$333)+COUNTIF(H$11:H36,H36)-1)))</f>
        <v>21</v>
      </c>
      <c r="J36" s="40"/>
      <c r="K36" s="35">
        <f t="shared" si="10"/>
        <v>26</v>
      </c>
      <c r="L36" t="str">
        <f t="shared" si="2"/>
        <v>Somerset</v>
      </c>
      <c r="M36" s="109">
        <f t="shared" si="3"/>
        <v>96.58</v>
      </c>
      <c r="N36" s="104">
        <f t="shared" si="19"/>
        <v>96.58</v>
      </c>
      <c r="O36" s="89" t="str">
        <f t="shared" si="20"/>
        <v/>
      </c>
      <c r="P36" s="89">
        <f t="shared" si="21"/>
        <v>96.58</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Rural</v>
      </c>
      <c r="Y36" t="str">
        <f t="shared" si="26"/>
        <v/>
      </c>
      <c r="Z36" s="39" t="str">
        <f>IF(Y36="","",IF(I$8="A",(RANK(Y36,Y$11:Y$333,1)+COUNTIF(Y$11:Y36,Y36)-1),(RANK(Y36,Y$11:Y$333)+COUNTIF(Y$11:Y36,Y36)-1)))</f>
        <v/>
      </c>
      <c r="AA36" s="177" t="str">
        <f>IF(L36="","",VLOOKUP($L36,classifications!C:I,7,FALSE))</f>
        <v>Predominantly Rural</v>
      </c>
      <c r="AB36" s="173" t="str">
        <f t="shared" si="27"/>
        <v/>
      </c>
      <c r="AC36" s="173" t="str">
        <f>IF(AB36="","",IF($I$8="A",(RANK(AB36,AB$11:AB$333)+COUNTIF(AB$11:AB36,AB36)-1),(RANK(AB36,AB$11:AB$333,1)+COUNTIF(AB$11:AB36,AB36)-1)))</f>
        <v/>
      </c>
      <c r="AD36" s="173"/>
      <c r="AE36" s="45">
        <f>IF(I$8="A",(RANK(AG36,AG$11:AG$333,1)+COUNTIF(AG$11:AG36,AG36)-1),(RANK(AG36,AG$11:AG$333)+COUNTIF(AG$11:AG36,AG36)-1))</f>
        <v>26</v>
      </c>
      <c r="AF36" t="str">
        <f>VLOOKUP(Profile!$J$5,Families!$C:$R,2,FALSE)</f>
        <v>Cheshire West &amp; Chester</v>
      </c>
      <c r="AG36" s="15">
        <f t="shared" si="15"/>
        <v>96.98</v>
      </c>
      <c r="AH36" s="46">
        <f t="shared" si="28"/>
        <v>26</v>
      </c>
      <c r="AI36" s="5" t="str">
        <f>IF(L36="","",VLOOKUP($L36,classifications!$C:$J,8,FALSE))</f>
        <v>Unitary</v>
      </c>
      <c r="AJ36" s="42">
        <f t="shared" si="29"/>
        <v>96.58</v>
      </c>
      <c r="AK36" s="39">
        <f>IF(AJ36="","",IF(I$8="A",(RANK(AJ36,AJ$11:AJ$333,1)+COUNTIF(AJ$11:AJ36,AJ36)-1),(RANK(AJ36,AJ$11:AJ$333)+COUNTIF(AJ$11:AJ36,AJ36)-1)))</f>
        <v>26</v>
      </c>
      <c r="AL36" s="3">
        <f t="shared" si="16"/>
        <v>26</v>
      </c>
      <c r="AM36" t="str">
        <f t="shared" si="6"/>
        <v>Somerset</v>
      </c>
      <c r="AN36">
        <f t="shared" si="7"/>
        <v>96.58</v>
      </c>
      <c r="AP36" s="5" t="str">
        <f>IF(L36="","",VLOOKUP($L36,classifications!$C:$E,3,FALSE))</f>
        <v>South West</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97.07</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94.22</v>
      </c>
      <c r="G37" s="15"/>
      <c r="H37" s="41" t="str">
        <f t="shared" si="1"/>
        <v/>
      </c>
      <c r="I37" s="73" t="str">
        <f>IF(H37="","",IF($I$8="A",(RANK(H37,H$11:H$333,1)+COUNTIF(H$11:H37,H37)-1),(RANK(H37,H$11:H$333)+COUNTIF(H$11:H37,H37)-1)))</f>
        <v/>
      </c>
      <c r="J37" s="40"/>
      <c r="K37" s="35">
        <f t="shared" si="10"/>
        <v>27</v>
      </c>
      <c r="L37" t="str">
        <f t="shared" si="2"/>
        <v>Plymouth</v>
      </c>
      <c r="M37" s="109">
        <f t="shared" si="3"/>
        <v>96.5</v>
      </c>
      <c r="N37" s="104">
        <f t="shared" si="19"/>
        <v>96.5</v>
      </c>
      <c r="O37" s="89" t="str">
        <f t="shared" si="20"/>
        <v/>
      </c>
      <c r="P37" s="89">
        <f t="shared" si="21"/>
        <v>96.5</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96.98</v>
      </c>
      <c r="AH37" s="46">
        <f t="shared" si="28"/>
        <v>27</v>
      </c>
      <c r="AI37" s="5" t="str">
        <f>IF(L37="","",VLOOKUP($L37,classifications!$C:$J,8,FALSE))</f>
        <v>Unitary</v>
      </c>
      <c r="AJ37" s="42">
        <f t="shared" si="29"/>
        <v>96.5</v>
      </c>
      <c r="AK37" s="39">
        <f>IF(AJ37="","",IF(I$8="A",(RANK(AJ37,AJ$11:AJ$333,1)+COUNTIF(AJ$11:AJ37,AJ37)-1),(RANK(AJ37,AJ$11:AJ$333)+COUNTIF(AJ$11:AJ37,AJ37)-1)))</f>
        <v>27</v>
      </c>
      <c r="AL37" s="3">
        <f t="shared" si="16"/>
        <v>27</v>
      </c>
      <c r="AM37" t="str">
        <f t="shared" si="6"/>
        <v>Plymouth</v>
      </c>
      <c r="AN37">
        <f t="shared" si="7"/>
        <v>96.5</v>
      </c>
      <c r="AP37" s="5" t="str">
        <f>IF(L37="","",VLOOKUP($L37,classifications!$C:$E,3,FALSE))</f>
        <v>South West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94.22</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97.59</v>
      </c>
      <c r="G38" s="15"/>
      <c r="H38" s="41" t="str">
        <f t="shared" si="1"/>
        <v/>
      </c>
      <c r="I38" s="73" t="str">
        <f>IF(H38="","",IF($I$8="A",(RANK(H38,H$11:H$333,1)+COUNTIF(H$11:H38,H38)-1),(RANK(H38,H$11:H$333)+COUNTIF(H$11:H38,H38)-1)))</f>
        <v/>
      </c>
      <c r="J38" s="40"/>
      <c r="K38" s="35">
        <f t="shared" si="10"/>
        <v>28</v>
      </c>
      <c r="L38" t="str">
        <f t="shared" si="2"/>
        <v>Bedford</v>
      </c>
      <c r="M38" s="109">
        <f t="shared" si="3"/>
        <v>96.45</v>
      </c>
      <c r="N38" s="104">
        <f t="shared" si="19"/>
        <v>96.45</v>
      </c>
      <c r="O38" s="89" t="str">
        <f t="shared" si="20"/>
        <v/>
      </c>
      <c r="P38" s="89">
        <f t="shared" si="21"/>
        <v>96.45</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Urban with Significant Rural</v>
      </c>
      <c r="Y38">
        <f t="shared" si="26"/>
        <v>96.45</v>
      </c>
      <c r="Z38" s="39">
        <f>IF(Y38="","",IF(I$8="A",(RANK(Y38,Y$11:Y$333,1)+COUNTIF(Y$11:Y38,Y38)-1),(RANK(Y38,Y$11:Y$333)+COUNTIF(Y$11:Y38,Y38)-1)))</f>
        <v>17</v>
      </c>
      <c r="AA38" s="177" t="str">
        <f>IF(L38="","",VLOOKUP($L38,classifications!C:I,7,FALSE))</f>
        <v>Urban with Significant Rural</v>
      </c>
      <c r="AB38" s="173">
        <f t="shared" si="27"/>
        <v>96.45</v>
      </c>
      <c r="AC38" s="173">
        <f>IF(AB38="","",IF($I$8="A",(RANK(AB38,AB$11:AB$333)+COUNTIF(AB$11:AB38,AB38)-1),(RANK(AB38,AB$11:AB$333,1)+COUNTIF(AB$11:AB38,AB38)-1)))</f>
        <v>5</v>
      </c>
      <c r="AD38" s="173"/>
      <c r="AE38" s="45">
        <f>IF(I$8="A",(RANK(AG38,AG$11:AG$333,1)+COUNTIF(AG$11:AG38,AG38)-1),(RANK(AG38,AG$11:AG$333)+COUNTIF(AG$11:AG38,AG38)-1))</f>
        <v>28</v>
      </c>
      <c r="AF38" t="str">
        <f>VLOOKUP(Profile!$J$5,Families!$C:$R,2,FALSE)</f>
        <v>Cheshire West &amp; Chester</v>
      </c>
      <c r="AG38" s="15">
        <f t="shared" si="15"/>
        <v>96.98</v>
      </c>
      <c r="AH38" s="46">
        <f t="shared" si="28"/>
        <v>28</v>
      </c>
      <c r="AI38" s="5" t="str">
        <f>IF(L38="","",VLOOKUP($L38,classifications!$C:$J,8,FALSE))</f>
        <v>Unitary</v>
      </c>
      <c r="AJ38" s="42">
        <f t="shared" si="29"/>
        <v>96.45</v>
      </c>
      <c r="AK38" s="39">
        <f>IF(AJ38="","",IF(I$8="A",(RANK(AJ38,AJ$11:AJ$333,1)+COUNTIF(AJ$11:AJ38,AJ38)-1),(RANK(AJ38,AJ$11:AJ$333)+COUNTIF(AJ$11:AJ38,AJ38)-1)))</f>
        <v>28</v>
      </c>
      <c r="AL38" s="3">
        <f t="shared" si="16"/>
        <v>28</v>
      </c>
      <c r="AM38" t="str">
        <f t="shared" si="6"/>
        <v>Bedford</v>
      </c>
      <c r="AN38">
        <f t="shared" si="7"/>
        <v>96.45</v>
      </c>
      <c r="AP38" s="5" t="str">
        <f>IF(L38="","",VLOOKUP($L38,classifications!$C:$E,3,FALSE))</f>
        <v>East of England</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97.59</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97.25</v>
      </c>
      <c r="G39" s="15"/>
      <c r="H39" s="41" t="str">
        <f t="shared" si="1"/>
        <v/>
      </c>
      <c r="I39" s="73" t="str">
        <f>IF(H39="","",IF($I$8="A",(RANK(H39,H$11:H$333,1)+COUNTIF(H$11:H39,H39)-1),(RANK(H39,H$11:H$333)+COUNTIF(H$11:H39,H39)-1)))</f>
        <v/>
      </c>
      <c r="J39" s="40"/>
      <c r="K39" s="35">
        <f t="shared" si="10"/>
        <v>29</v>
      </c>
      <c r="L39" t="str">
        <f t="shared" si="2"/>
        <v>Darlington</v>
      </c>
      <c r="M39" s="109">
        <f t="shared" si="3"/>
        <v>96.39</v>
      </c>
      <c r="N39" s="104">
        <f t="shared" si="19"/>
        <v>96.39</v>
      </c>
      <c r="O39" s="89" t="str">
        <f t="shared" si="20"/>
        <v/>
      </c>
      <c r="P39" s="89">
        <f t="shared" si="21"/>
        <v>96.39</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96.98</v>
      </c>
      <c r="AH39" s="46">
        <f t="shared" si="28"/>
        <v>29</v>
      </c>
      <c r="AI39" s="5" t="str">
        <f>IF(L39="","",VLOOKUP($L39,classifications!$C:$J,8,FALSE))</f>
        <v>Unitary</v>
      </c>
      <c r="AJ39" s="42">
        <f t="shared" si="29"/>
        <v>96.39</v>
      </c>
      <c r="AK39" s="39">
        <f>IF(AJ39="","",IF(I$8="A",(RANK(AJ39,AJ$11:AJ$333,1)+COUNTIF(AJ$11:AJ39,AJ39)-1),(RANK(AJ39,AJ$11:AJ$333)+COUNTIF(AJ$11:AJ39,AJ39)-1)))</f>
        <v>29</v>
      </c>
      <c r="AL39" s="3">
        <f t="shared" si="16"/>
        <v>29</v>
      </c>
      <c r="AM39" t="str">
        <f t="shared" si="6"/>
        <v>Darlington</v>
      </c>
      <c r="AN39">
        <f t="shared" si="7"/>
        <v>96.39</v>
      </c>
      <c r="AP39" s="5" t="str">
        <f>IF(L39="","",VLOOKUP($L39,classifications!$C:$E,3,FALSE))</f>
        <v>NE</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97.25</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92.2</v>
      </c>
      <c r="G40" s="15"/>
      <c r="H40" s="41" t="str">
        <f t="shared" si="1"/>
        <v/>
      </c>
      <c r="I40" s="73" t="str">
        <f>IF(H40="","",IF($I$8="A",(RANK(H40,H$11:H$333,1)+COUNTIF(H$11:H40,H40)-1),(RANK(H40,H$11:H$333)+COUNTIF(H$11:H40,H40)-1)))</f>
        <v/>
      </c>
      <c r="J40" s="40"/>
      <c r="K40" s="35">
        <f t="shared" si="10"/>
        <v>30</v>
      </c>
      <c r="L40" t="str">
        <f t="shared" si="2"/>
        <v>Warrington</v>
      </c>
      <c r="M40" s="109">
        <f t="shared" si="3"/>
        <v>96.37</v>
      </c>
      <c r="N40" s="104">
        <f t="shared" si="19"/>
        <v>96.37</v>
      </c>
      <c r="O40" s="89" t="str">
        <f t="shared" si="20"/>
        <v/>
      </c>
      <c r="P40" s="89">
        <f t="shared" si="21"/>
        <v>96.37</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f>IF(I$8="A",(RANK(AG40,AG$11:AG$333,1)+COUNTIF(AG$11:AG40,AG40)-1),(RANK(AG40,AG$11:AG$333)+COUNTIF(AG$11:AG40,AG40)-1))</f>
        <v>30</v>
      </c>
      <c r="AF40" t="str">
        <f>VLOOKUP(Profile!$J$5,Families!$C:$R,2,FALSE)</f>
        <v>Cheshire West &amp; Chester</v>
      </c>
      <c r="AG40" s="15">
        <f t="shared" si="15"/>
        <v>96.98</v>
      </c>
      <c r="AH40" s="46">
        <f t="shared" si="28"/>
        <v>30</v>
      </c>
      <c r="AI40" s="5" t="str">
        <f>IF(L40="","",VLOOKUP($L40,classifications!$C:$J,8,FALSE))</f>
        <v>Unitary</v>
      </c>
      <c r="AJ40" s="42">
        <f t="shared" si="29"/>
        <v>96.37</v>
      </c>
      <c r="AK40" s="39">
        <f>IF(AJ40="","",IF(I$8="A",(RANK(AJ40,AJ$11:AJ$333,1)+COUNTIF(AJ$11:AJ40,AJ40)-1),(RANK(AJ40,AJ$11:AJ$333)+COUNTIF(AJ$11:AJ40,AJ40)-1)))</f>
        <v>30</v>
      </c>
      <c r="AL40" s="3">
        <f t="shared" si="16"/>
        <v>30</v>
      </c>
      <c r="AM40" t="str">
        <f t="shared" si="6"/>
        <v>Warrington</v>
      </c>
      <c r="AN40">
        <f t="shared" si="7"/>
        <v>96.37</v>
      </c>
      <c r="AP40" s="5" t="str">
        <f>IF(L40="","",VLOOKUP($L40,classifications!$C:$E,3,FALSE))</f>
        <v>North West</v>
      </c>
      <c r="AQ40" s="42">
        <f t="shared" si="30"/>
        <v>96.37</v>
      </c>
      <c r="AR40" s="39">
        <f>IF(AQ40="","",IF(I$8="A",(RANK(AQ40,AQ$11:AQ$333,1)+COUNTIF(AQ$11:AQ40,AQ40)-1),(RANK(AQ40,AQ$11:AQ$333)+COUNTIF(AQ$11:AQ40,AQ40)-1)))</f>
        <v>4</v>
      </c>
      <c r="AS40" s="3" t="str">
        <f t="shared" si="18"/>
        <v/>
      </c>
      <c r="AT40" s="39" t="str">
        <f t="shared" si="8"/>
        <v/>
      </c>
      <c r="AU40" s="42" t="str">
        <f t="shared" si="9"/>
        <v/>
      </c>
      <c r="AX40">
        <f>HLOOKUP($AX$9&amp;$AX$10,Data!$A$1:$ZT$1975,(MATCH($C40,Data!$A$1:$A$1975,0)),FALSE)</f>
        <v>92.2</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97.41</v>
      </c>
      <c r="G41" s="15"/>
      <c r="H41" s="41" t="str">
        <f t="shared" si="1"/>
        <v/>
      </c>
      <c r="I41" s="73" t="str">
        <f>IF(H41="","",IF($I$8="A",(RANK(H41,H$11:H$333,1)+COUNTIF(H$11:H41,H41)-1),(RANK(H41,H$11:H$333)+COUNTIF(H$11:H41,H41)-1)))</f>
        <v/>
      </c>
      <c r="J41" s="40"/>
      <c r="K41" s="35">
        <f t="shared" si="10"/>
        <v>31</v>
      </c>
      <c r="L41" t="str">
        <f t="shared" si="2"/>
        <v>West Northamptonshire</v>
      </c>
      <c r="M41" s="109">
        <f t="shared" si="3"/>
        <v>96.35</v>
      </c>
      <c r="N41" s="104">
        <f t="shared" si="19"/>
        <v>96.35</v>
      </c>
      <c r="O41" s="89" t="str">
        <f t="shared" si="20"/>
        <v/>
      </c>
      <c r="P41" s="89">
        <f t="shared" si="21"/>
        <v>96.35</v>
      </c>
      <c r="Q41" s="89" t="str">
        <f t="shared" si="22"/>
        <v/>
      </c>
      <c r="R41" s="85" t="str">
        <f t="shared" si="23"/>
        <v/>
      </c>
      <c r="S41" s="41" t="str">
        <f t="shared" si="24"/>
        <v/>
      </c>
      <c r="T41" s="166" t="str">
        <f>IF(L41="","",VLOOKUP(L41,classifications!C:K,9,FALSE))</f>
        <v>Sparse</v>
      </c>
      <c r="U41" s="167">
        <f t="shared" si="25"/>
        <v>96.35</v>
      </c>
      <c r="V41" s="173">
        <f>IF(U41="","",IF($I$8="A",(RANK(U41,U$11:U$333)+COUNTIF(U$11:U41,U41)-1),(RANK(U41,U$11:U$333,1)+COUNTIF(U$11:U41,U41)-1)))</f>
        <v>5</v>
      </c>
      <c r="W41" s="174"/>
      <c r="X41" s="5" t="str">
        <f>IF(L41="","",VLOOKUP($L41,classifications!$C:$J,6,FALSE))</f>
        <v>Urban with Significant Rural</v>
      </c>
      <c r="Y41">
        <f t="shared" si="26"/>
        <v>96.35</v>
      </c>
      <c r="Z41" s="39">
        <f>IF(Y41="","",IF(I$8="A",(RANK(Y41,Y$11:Y$333,1)+COUNTIF(Y$11:Y41,Y41)-1),(RANK(Y41,Y$11:Y$333)+COUNTIF(Y$11:Y41,Y41)-1)))</f>
        <v>18</v>
      </c>
      <c r="AA41" s="177" t="str">
        <f>IF(L41="","",VLOOKUP($L41,classifications!C:I,7,FALSE))</f>
        <v>Urban with Significant Rural</v>
      </c>
      <c r="AB41" s="173">
        <f t="shared" si="27"/>
        <v>96.35</v>
      </c>
      <c r="AC41" s="173">
        <f>IF(AB41="","",IF($I$8="A",(RANK(AB41,AB$11:AB$333)+COUNTIF(AB$11:AB41,AB41)-1),(RANK(AB41,AB$11:AB$333,1)+COUNTIF(AB$11:AB41,AB41)-1)))</f>
        <v>4</v>
      </c>
      <c r="AD41" s="173"/>
      <c r="AE41" s="45">
        <f>IF(I$8="A",(RANK(AG41,AG$11:AG$333,1)+COUNTIF(AG$11:AG41,AG41)-1),(RANK(AG41,AG$11:AG$333)+COUNTIF(AG$11:AG41,AG41)-1))</f>
        <v>31</v>
      </c>
      <c r="AF41" t="str">
        <f>VLOOKUP(Profile!$J$5,Families!$C:$R,2,FALSE)</f>
        <v>Cheshire West &amp; Chester</v>
      </c>
      <c r="AG41" s="15">
        <f t="shared" si="15"/>
        <v>96.98</v>
      </c>
      <c r="AH41" s="46">
        <f t="shared" si="28"/>
        <v>31</v>
      </c>
      <c r="AI41" s="5" t="str">
        <f>IF(L41="","",VLOOKUP($L41,classifications!$C:$J,8,FALSE))</f>
        <v>Unitary</v>
      </c>
      <c r="AJ41" s="42">
        <f t="shared" si="29"/>
        <v>96.35</v>
      </c>
      <c r="AK41" s="39">
        <f>IF(AJ41="","",IF(I$8="A",(RANK(AJ41,AJ$11:AJ$333,1)+COUNTIF(AJ$11:AJ41,AJ41)-1),(RANK(AJ41,AJ$11:AJ$333)+COUNTIF(AJ$11:AJ41,AJ41)-1)))</f>
        <v>31</v>
      </c>
      <c r="AL41" s="3">
        <f t="shared" si="16"/>
        <v>31</v>
      </c>
      <c r="AM41" t="str">
        <f t="shared" si="6"/>
        <v>West Northamptonshire</v>
      </c>
      <c r="AN41">
        <f t="shared" si="7"/>
        <v>96.35</v>
      </c>
      <c r="AP41" s="5" t="str">
        <f>IF(L41="","",VLOOKUP($L41,classifications!$C:$E,3,FALSE))</f>
        <v>East Midlands</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97.41</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94.49</v>
      </c>
      <c r="G42" s="15"/>
      <c r="H42" s="41">
        <f t="shared" si="1"/>
        <v>94.49</v>
      </c>
      <c r="I42" s="73">
        <f>IF(H42="","",IF($I$8="A",(RANK(H42,H$11:H$333,1)+COUNTIF(H$11:H42,H42)-1),(RANK(H42,H$11:H$333)+COUNTIF(H$11:H42,H42)-1)))</f>
        <v>47</v>
      </c>
      <c r="J42" s="40"/>
      <c r="K42" s="35">
        <f t="shared" si="10"/>
        <v>32</v>
      </c>
      <c r="L42" t="str">
        <f t="shared" si="2"/>
        <v>Bournemouth, Christchurch &amp; Poole</v>
      </c>
      <c r="M42" s="109">
        <f t="shared" si="3"/>
        <v>96.29</v>
      </c>
      <c r="N42" s="104">
        <f t="shared" si="19"/>
        <v>96.29</v>
      </c>
      <c r="O42" s="89" t="str">
        <f t="shared" si="20"/>
        <v/>
      </c>
      <c r="P42" s="89" t="str">
        <f t="shared" si="21"/>
        <v/>
      </c>
      <c r="Q42" s="89">
        <f t="shared" si="22"/>
        <v>96.29</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Urban</v>
      </c>
      <c r="Y42" t="str">
        <f t="shared" si="26"/>
        <v/>
      </c>
      <c r="Z42" s="39" t="str">
        <f>IF(Y42="","",IF(I$8="A",(RANK(Y42,Y$11:Y$333,1)+COUNTIF(Y$11:Y42,Y42)-1),(RANK(Y42,Y$11:Y$333)+COUNTIF(Y$11:Y42,Y42)-1)))</f>
        <v/>
      </c>
      <c r="AA42" s="177" t="str">
        <f>IF(L42="","",VLOOKUP($L42,classifications!C:I,7,FALSE))</f>
        <v>Predominantly Urban</v>
      </c>
      <c r="AB42" s="173" t="str">
        <f t="shared" si="27"/>
        <v/>
      </c>
      <c r="AC42" s="173" t="str">
        <f>IF(AB42="","",IF($I$8="A",(RANK(AB42,AB$11:AB$333)+COUNTIF(AB$11:AB42,AB42)-1),(RANK(AB42,AB$11:AB$333,1)+COUNTIF(AB$11:AB42,AB42)-1)))</f>
        <v/>
      </c>
      <c r="AD42" s="173"/>
      <c r="AE42" s="45">
        <f>IF(I$8="A",(RANK(AG42,AG$11:AG$333,1)+COUNTIF(AG$11:AG42,AG42)-1),(RANK(AG42,AG$11:AG$333)+COUNTIF(AG$11:AG42,AG42)-1))</f>
        <v>32</v>
      </c>
      <c r="AF42" t="str">
        <f>VLOOKUP(Profile!$J$5,Families!$C:$R,2,FALSE)</f>
        <v>Cheshire West &amp; Chester</v>
      </c>
      <c r="AG42" s="15">
        <f t="shared" si="15"/>
        <v>96.98</v>
      </c>
      <c r="AH42" s="46">
        <f t="shared" si="28"/>
        <v>32</v>
      </c>
      <c r="AI42" s="5" t="str">
        <f>IF(L42="","",VLOOKUP($L42,classifications!$C:$J,8,FALSE))</f>
        <v>Unitary</v>
      </c>
      <c r="AJ42" s="42">
        <f t="shared" si="29"/>
        <v>96.29</v>
      </c>
      <c r="AK42" s="39">
        <f>IF(AJ42="","",IF(I$8="A",(RANK(AJ42,AJ$11:AJ$333,1)+COUNTIF(AJ$11:AJ42,AJ42)-1),(RANK(AJ42,AJ$11:AJ$333)+COUNTIF(AJ$11:AJ42,AJ42)-1)))</f>
        <v>32</v>
      </c>
      <c r="AL42" s="3">
        <f t="shared" si="16"/>
        <v>32</v>
      </c>
      <c r="AM42" t="str">
        <f t="shared" si="6"/>
        <v>Bournemouth, Christchurch &amp; Poole</v>
      </c>
      <c r="AN42">
        <f t="shared" si="7"/>
        <v>96.29</v>
      </c>
      <c r="AP42" s="5" t="str">
        <f>IF(L42="","",VLOOKUP($L42,classifications!$C:$E,3,FALSE))</f>
        <v>South West</v>
      </c>
      <c r="AQ42" s="42" t="str">
        <f t="shared" si="30"/>
        <v/>
      </c>
      <c r="AR42" s="39" t="str">
        <f>IF(AQ42="","",IF(I$8="A",(RANK(AQ42,AQ$11:AQ$333,1)+COUNTIF(AQ$11:AQ42,AQ42)-1),(RANK(AQ42,AQ$11:AQ$333)+COUNTIF(AQ$11:AQ42,AQ42)-1)))</f>
        <v/>
      </c>
      <c r="AS42" s="3" t="str">
        <f t="shared" si="18"/>
        <v/>
      </c>
      <c r="AT42" s="39" t="str">
        <f t="shared" si="8"/>
        <v/>
      </c>
      <c r="AU42" s="42" t="str">
        <f t="shared" si="9"/>
        <v/>
      </c>
      <c r="AX42">
        <f>HLOOKUP($AX$9&amp;$AX$10,Data!$A$1:$ZT$1975,(MATCH($C42,Data!$A$1:$A$1975,0)),FALSE)</f>
        <v>94.49</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93.04</v>
      </c>
      <c r="G43" s="15"/>
      <c r="H43" s="41">
        <f t="shared" si="1"/>
        <v>93.04</v>
      </c>
      <c r="I43" s="73">
        <f>IF(H43="","",IF($I$8="A",(RANK(H43,H$11:H$333,1)+COUNTIF(H$11:H43,H43)-1),(RANK(H43,H$11:H$333)+COUNTIF(H$11:H43,H43)-1)))</f>
        <v>53</v>
      </c>
      <c r="J43" s="40"/>
      <c r="K43" s="35">
        <f t="shared" si="10"/>
        <v>33</v>
      </c>
      <c r="L43" t="str">
        <f t="shared" si="2"/>
        <v>Cumberland</v>
      </c>
      <c r="M43" s="109">
        <f t="shared" si="3"/>
        <v>96.26</v>
      </c>
      <c r="N43" s="104">
        <f t="shared" si="19"/>
        <v>96.26</v>
      </c>
      <c r="O43" s="89" t="str">
        <f t="shared" si="20"/>
        <v/>
      </c>
      <c r="P43" s="89" t="str">
        <f t="shared" si="21"/>
        <v/>
      </c>
      <c r="Q43" s="89">
        <f t="shared" si="22"/>
        <v>96.26</v>
      </c>
      <c r="R43" s="85" t="str">
        <f t="shared" si="23"/>
        <v/>
      </c>
      <c r="S43" s="41" t="str">
        <f t="shared" si="24"/>
        <v/>
      </c>
      <c r="T43" s="166" t="str">
        <f>IF(L43="","",VLOOKUP(L43,classifications!C:K,9,FALSE))</f>
        <v>Sparse</v>
      </c>
      <c r="U43" s="167">
        <f t="shared" si="25"/>
        <v>96.26</v>
      </c>
      <c r="V43" s="173">
        <f>IF(U43="","",IF($I$8="A",(RANK(U43,U$11:U$333)+COUNTIF(U$11:U43,U43)-1),(RANK(U43,U$11:U$333,1)+COUNTIF(U$11:U43,U43)-1)))</f>
        <v>4</v>
      </c>
      <c r="W43" s="174"/>
      <c r="X43" s="5" t="str">
        <f>IF(L43="","",VLOOKUP($L43,classifications!$C:$J,6,FALSE))</f>
        <v xml:space="preserve">Predominantly Rural </v>
      </c>
      <c r="Y43">
        <f t="shared" si="26"/>
        <v>96.26</v>
      </c>
      <c r="Z43" s="39">
        <f>IF(Y43="","",IF(I$8="A",(RANK(Y43,Y$11:Y$333,1)+COUNTIF(Y$11:Y43,Y43)-1),(RANK(Y43,Y$11:Y$333)+COUNTIF(Y$11:Y43,Y43)-1)))</f>
        <v>19</v>
      </c>
      <c r="AA43" s="177" t="str">
        <f>IF(L43="","",VLOOKUP($L43,classifications!C:I,7,FALSE))</f>
        <v>Predominantly Rural</v>
      </c>
      <c r="AB43" s="173" t="str">
        <f t="shared" si="27"/>
        <v/>
      </c>
      <c r="AC43" s="173" t="str">
        <f>IF(AB43="","",IF($I$8="A",(RANK(AB43,AB$11:AB$333)+COUNTIF(AB$11:AB43,AB43)-1),(RANK(AB43,AB$11:AB$333,1)+COUNTIF(AB$11:AB43,AB43)-1)))</f>
        <v/>
      </c>
      <c r="AD43" s="173"/>
      <c r="AE43" s="45">
        <f>IF(I$8="A",(RANK(AG43,AG$11:AG$333,1)+COUNTIF(AG$11:AG43,AG43)-1),(RANK(AG43,AG$11:AG$333)+COUNTIF(AG$11:AG43,AG43)-1))</f>
        <v>33</v>
      </c>
      <c r="AF43" t="str">
        <f>VLOOKUP(Profile!$J$5,Families!$C:$R,2,FALSE)</f>
        <v>Cheshire West &amp; Chester</v>
      </c>
      <c r="AG43" s="15">
        <f t="shared" si="15"/>
        <v>96.98</v>
      </c>
      <c r="AH43" s="46">
        <f t="shared" si="28"/>
        <v>33</v>
      </c>
      <c r="AI43" s="5" t="str">
        <f>IF(L43="","",VLOOKUP($L43,classifications!$C:$J,8,FALSE))</f>
        <v>Unitary</v>
      </c>
      <c r="AJ43" s="42">
        <f t="shared" si="29"/>
        <v>96.26</v>
      </c>
      <c r="AK43" s="39">
        <f>IF(AJ43="","",IF(I$8="A",(RANK(AJ43,AJ$11:AJ$333,1)+COUNTIF(AJ$11:AJ43,AJ43)-1),(RANK(AJ43,AJ$11:AJ$333)+COUNTIF(AJ$11:AJ43,AJ43)-1)))</f>
        <v>33</v>
      </c>
      <c r="AL43" s="3">
        <f t="shared" si="16"/>
        <v>33</v>
      </c>
      <c r="AM43" t="str">
        <f t="shared" si="6"/>
        <v>Cumberland</v>
      </c>
      <c r="AN43">
        <f t="shared" si="7"/>
        <v>96.26</v>
      </c>
      <c r="AP43" s="5" t="str">
        <f>IF(L43="","",VLOOKUP($L43,classifications!$C:$E,3,FALSE))</f>
        <v>North West</v>
      </c>
      <c r="AQ43" s="42">
        <f t="shared" si="30"/>
        <v>96.26</v>
      </c>
      <c r="AR43" s="39">
        <f>IF(AQ43="","",IF(I$8="A",(RANK(AQ43,AQ$11:AQ$333,1)+COUNTIF(AQ$11:AQ43,AQ43)-1),(RANK(AQ43,AQ$11:AQ$333)+COUNTIF(AQ$11:AQ43,AQ43)-1)))</f>
        <v>5</v>
      </c>
      <c r="AS43" s="3" t="str">
        <f t="shared" si="18"/>
        <v/>
      </c>
      <c r="AT43" s="39" t="str">
        <f t="shared" si="8"/>
        <v/>
      </c>
      <c r="AU43" s="42" t="str">
        <f t="shared" si="9"/>
        <v/>
      </c>
      <c r="AX43">
        <f>HLOOKUP($AX$9&amp;$AX$10,Data!$A$1:$ZT$1975,(MATCH($C43,Data!$A$1:$A$1975,0)),FALSE)</f>
        <v>93.04</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97.91</v>
      </c>
      <c r="G44" s="15"/>
      <c r="H44" s="41" t="str">
        <f t="shared" si="1"/>
        <v/>
      </c>
      <c r="I44" s="73" t="str">
        <f>IF(H44="","",IF($I$8="A",(RANK(H44,H$11:H$333,1)+COUNTIF(H$11:H44,H44)-1),(RANK(H44,H$11:H$333)+COUNTIF(H$11:H44,H44)-1)))</f>
        <v/>
      </c>
      <c r="J44" s="40"/>
      <c r="K44" s="35">
        <f t="shared" si="10"/>
        <v>34</v>
      </c>
      <c r="L44" t="str">
        <f t="shared" si="2"/>
        <v>Dorset</v>
      </c>
      <c r="M44" s="109">
        <f t="shared" si="3"/>
        <v>96.23</v>
      </c>
      <c r="N44" s="104">
        <f t="shared" si="19"/>
        <v>96.23</v>
      </c>
      <c r="O44" s="89" t="str">
        <f t="shared" si="20"/>
        <v/>
      </c>
      <c r="P44" s="89" t="str">
        <f t="shared" si="21"/>
        <v/>
      </c>
      <c r="Q44" s="89">
        <f t="shared" si="22"/>
        <v>96.23</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Rural</v>
      </c>
      <c r="Y44" t="str">
        <f t="shared" si="26"/>
        <v/>
      </c>
      <c r="Z44" s="39" t="str">
        <f>IF(Y44="","",IF(I$8="A",(RANK(Y44,Y$11:Y$333,1)+COUNTIF(Y$11:Y44,Y44)-1),(RANK(Y44,Y$11:Y$333)+COUNTIF(Y$11:Y44,Y44)-1)))</f>
        <v/>
      </c>
      <c r="AA44" s="177" t="str">
        <f>IF(L44="","",VLOOKUP($L44,classifications!C:I,7,FALSE))</f>
        <v>Predominantly Rural</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96.98</v>
      </c>
      <c r="AH44" s="46">
        <f t="shared" si="28"/>
        <v>34</v>
      </c>
      <c r="AI44" s="5" t="str">
        <f>IF(L44="","",VLOOKUP($L44,classifications!$C:$J,8,FALSE))</f>
        <v>Unitary</v>
      </c>
      <c r="AJ44" s="42">
        <f t="shared" si="29"/>
        <v>96.23</v>
      </c>
      <c r="AK44" s="39">
        <f>IF(AJ44="","",IF(I$8="A",(RANK(AJ44,AJ$11:AJ$333,1)+COUNTIF(AJ$11:AJ44,AJ44)-1),(RANK(AJ44,AJ$11:AJ$333)+COUNTIF(AJ$11:AJ44,AJ44)-1)))</f>
        <v>34</v>
      </c>
      <c r="AL44" s="3">
        <f t="shared" si="16"/>
        <v>34</v>
      </c>
      <c r="AM44" t="str">
        <f t="shared" si="6"/>
        <v>Dorset</v>
      </c>
      <c r="AN44">
        <f t="shared" si="7"/>
        <v>96.23</v>
      </c>
      <c r="AP44" s="5" t="str">
        <f>IF(L44="","",VLOOKUP($L44,classifications!$C:$E,3,FALSE))</f>
        <v>South West</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97.91</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96.97</v>
      </c>
      <c r="G45" s="15"/>
      <c r="H45" s="41" t="str">
        <f t="shared" si="1"/>
        <v/>
      </c>
      <c r="I45" s="73" t="str">
        <f>IF(H45="","",IF($I$8="A",(RANK(H45,H$11:H$333,1)+COUNTIF(H$11:H45,H45)-1),(RANK(H45,H$11:H$333)+COUNTIF(H$11:H45,H45)-1)))</f>
        <v/>
      </c>
      <c r="J45" s="40"/>
      <c r="K45" s="35">
        <f t="shared" si="10"/>
        <v>35</v>
      </c>
      <c r="L45" t="str">
        <f t="shared" si="2"/>
        <v>Torbay</v>
      </c>
      <c r="M45" s="109">
        <f t="shared" si="3"/>
        <v>96.13</v>
      </c>
      <c r="N45" s="104">
        <f t="shared" si="19"/>
        <v>96.13</v>
      </c>
      <c r="O45" s="89" t="str">
        <f t="shared" si="20"/>
        <v/>
      </c>
      <c r="P45" s="89" t="str">
        <f t="shared" si="21"/>
        <v/>
      </c>
      <c r="Q45" s="89">
        <f t="shared" si="22"/>
        <v>96.13</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96.98</v>
      </c>
      <c r="AH45" s="46">
        <f t="shared" si="28"/>
        <v>35</v>
      </c>
      <c r="AI45" s="5" t="str">
        <f>IF(L45="","",VLOOKUP($L45,classifications!$C:$J,8,FALSE))</f>
        <v>Unitary</v>
      </c>
      <c r="AJ45" s="42">
        <f t="shared" si="29"/>
        <v>96.13</v>
      </c>
      <c r="AK45" s="39">
        <f>IF(AJ45="","",IF(I$8="A",(RANK(AJ45,AJ$11:AJ$333,1)+COUNTIF(AJ$11:AJ45,AJ45)-1),(RANK(AJ45,AJ$11:AJ$333)+COUNTIF(AJ$11:AJ45,AJ45)-1)))</f>
        <v>35</v>
      </c>
      <c r="AL45" s="3">
        <f t="shared" si="16"/>
        <v>35</v>
      </c>
      <c r="AM45" t="str">
        <f t="shared" si="6"/>
        <v>Torbay</v>
      </c>
      <c r="AN45">
        <f t="shared" si="7"/>
        <v>96.13</v>
      </c>
      <c r="AP45" s="5" t="str">
        <f>IF(L45="","",VLOOKUP($L45,classifications!$C:$E,3,FALSE))</f>
        <v>South West</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96.97</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97.87</v>
      </c>
      <c r="G46" s="15"/>
      <c r="H46" s="41" t="str">
        <f t="shared" si="1"/>
        <v/>
      </c>
      <c r="I46" s="73" t="str">
        <f>IF(H46="","",IF($I$8="A",(RANK(H46,H$11:H$333,1)+COUNTIF(H$11:H46,H46)-1),(RANK(H46,H$11:H$333)+COUNTIF(H$11:H46,H46)-1)))</f>
        <v/>
      </c>
      <c r="J46" s="40"/>
      <c r="K46" s="35">
        <f t="shared" si="10"/>
        <v>36</v>
      </c>
      <c r="L46" t="str">
        <f t="shared" si="2"/>
        <v>North Northamptonshire</v>
      </c>
      <c r="M46" s="109">
        <f t="shared" si="3"/>
        <v>96.04</v>
      </c>
      <c r="N46" s="104">
        <f t="shared" si="19"/>
        <v>96.04</v>
      </c>
      <c r="O46" s="89" t="str">
        <f t="shared" si="20"/>
        <v/>
      </c>
      <c r="P46" s="89" t="str">
        <f t="shared" si="21"/>
        <v/>
      </c>
      <c r="Q46" s="89">
        <f t="shared" si="22"/>
        <v>96.04</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Urban with Significant Rural</v>
      </c>
      <c r="Y46">
        <f t="shared" si="26"/>
        <v>96.04</v>
      </c>
      <c r="Z46" s="39">
        <f>IF(Y46="","",IF(I$8="A",(RANK(Y46,Y$11:Y$333,1)+COUNTIF(Y$11:Y46,Y46)-1),(RANK(Y46,Y$11:Y$333)+COUNTIF(Y$11:Y46,Y46)-1)))</f>
        <v>20</v>
      </c>
      <c r="AA46" s="177" t="str">
        <f>IF(L46="","",VLOOKUP($L46,classifications!C:I,7,FALSE))</f>
        <v>Urban with Significant Rural</v>
      </c>
      <c r="AB46" s="173">
        <f t="shared" si="27"/>
        <v>96.04</v>
      </c>
      <c r="AC46" s="173">
        <f>IF(AB46="","",IF($I$8="A",(RANK(AB46,AB$11:AB$333)+COUNTIF(AB$11:AB46,AB46)-1),(RANK(AB46,AB$11:AB$333,1)+COUNTIF(AB$11:AB46,AB46)-1)))</f>
        <v>3</v>
      </c>
      <c r="AD46" s="173"/>
      <c r="AE46" s="45">
        <f>IF(I$8="A",(RANK(AG46,AG$11:AG$333,1)+COUNTIF(AG$11:AG46,AG46)-1),(RANK(AG46,AG$11:AG$333)+COUNTIF(AG$11:AG46,AG46)-1))</f>
        <v>36</v>
      </c>
      <c r="AF46" t="str">
        <f>VLOOKUP(Profile!$J$5,Families!$C:$R,2,FALSE)</f>
        <v>Cheshire West &amp; Chester</v>
      </c>
      <c r="AG46" s="15">
        <f t="shared" si="15"/>
        <v>96.98</v>
      </c>
      <c r="AH46" s="46">
        <f t="shared" si="28"/>
        <v>36</v>
      </c>
      <c r="AI46" s="5" t="str">
        <f>IF(L46="","",VLOOKUP($L46,classifications!$C:$J,8,FALSE))</f>
        <v>Unitary</v>
      </c>
      <c r="AJ46" s="42">
        <f t="shared" si="29"/>
        <v>96.04</v>
      </c>
      <c r="AK46" s="39">
        <f>IF(AJ46="","",IF(I$8="A",(RANK(AJ46,AJ$11:AJ$333,1)+COUNTIF(AJ$11:AJ46,AJ46)-1),(RANK(AJ46,AJ$11:AJ$333)+COUNTIF(AJ$11:AJ46,AJ46)-1)))</f>
        <v>36</v>
      </c>
      <c r="AL46" s="3">
        <f t="shared" si="16"/>
        <v>36</v>
      </c>
      <c r="AM46" t="str">
        <f t="shared" si="6"/>
        <v>North Northamptonshire</v>
      </c>
      <c r="AN46">
        <f t="shared" si="7"/>
        <v>96.04</v>
      </c>
      <c r="AP46" s="5" t="str">
        <f>IF(L46="","",VLOOKUP($L46,classifications!$C:$E,3,FALSE))</f>
        <v>East Midlands</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97.87</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96.87</v>
      </c>
      <c r="G47" s="15"/>
      <c r="H47" s="41" t="str">
        <f t="shared" si="1"/>
        <v/>
      </c>
      <c r="I47" s="73" t="str">
        <f>IF(H47="","",IF($I$8="A",(RANK(H47,H$11:H$333,1)+COUNTIF(H$11:H47,H47)-1),(RANK(H47,H$11:H$333)+COUNTIF(H$11:H47,H47)-1)))</f>
        <v/>
      </c>
      <c r="J47" s="40"/>
      <c r="K47" s="35">
        <f t="shared" si="10"/>
        <v>37</v>
      </c>
      <c r="L47" t="str">
        <f t="shared" si="2"/>
        <v>Swindon</v>
      </c>
      <c r="M47" s="109">
        <f t="shared" si="3"/>
        <v>95.87</v>
      </c>
      <c r="N47" s="104">
        <f t="shared" si="19"/>
        <v>95.87</v>
      </c>
      <c r="O47" s="89" t="str">
        <f t="shared" si="20"/>
        <v/>
      </c>
      <c r="P47" s="89" t="str">
        <f t="shared" si="21"/>
        <v/>
      </c>
      <c r="Q47" s="89">
        <f t="shared" si="22"/>
        <v>95.87</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Predominantly Urban</v>
      </c>
      <c r="Y47" t="str">
        <f t="shared" si="26"/>
        <v/>
      </c>
      <c r="Z47" s="39" t="str">
        <f>IF(Y47="","",IF(I$8="A",(RANK(Y47,Y$11:Y$333,1)+COUNTIF(Y$11:Y47,Y47)-1),(RANK(Y47,Y$11:Y$333)+COUNTIF(Y$11:Y47,Y47)-1)))</f>
        <v/>
      </c>
      <c r="AA47" s="177" t="str">
        <f>IF(L47="","",VLOOKUP($L47,classifications!C:I,7,FALSE))</f>
        <v>Predominantly Urban</v>
      </c>
      <c r="AB47" s="173" t="str">
        <f t="shared" si="27"/>
        <v/>
      </c>
      <c r="AC47" s="173" t="str">
        <f>IF(AB47="","",IF($I$8="A",(RANK(AB47,AB$11:AB$333)+COUNTIF(AB$11:AB47,AB47)-1),(RANK(AB47,AB$11:AB$333,1)+COUNTIF(AB$11:AB47,AB47)-1)))</f>
        <v/>
      </c>
      <c r="AD47" s="173"/>
      <c r="AE47" s="45">
        <f>IF(I$8="A",(RANK(AG47,AG$11:AG$333,1)+COUNTIF(AG$11:AG47,AG47)-1),(RANK(AG47,AG$11:AG$333)+COUNTIF(AG$11:AG47,AG47)-1))</f>
        <v>37</v>
      </c>
      <c r="AF47" t="str">
        <f>VLOOKUP(Profile!$J$5,Families!$C:$R,2,FALSE)</f>
        <v>Cheshire West &amp; Chester</v>
      </c>
      <c r="AG47" s="15">
        <f t="shared" si="15"/>
        <v>96.98</v>
      </c>
      <c r="AH47" s="46">
        <f t="shared" si="28"/>
        <v>37</v>
      </c>
      <c r="AI47" s="5" t="str">
        <f>IF(L47="","",VLOOKUP($L47,classifications!$C:$J,8,FALSE))</f>
        <v>Unitary</v>
      </c>
      <c r="AJ47" s="42">
        <f t="shared" si="29"/>
        <v>95.87</v>
      </c>
      <c r="AK47" s="39">
        <f>IF(AJ47="","",IF(I$8="A",(RANK(AJ47,AJ$11:AJ$333,1)+COUNTIF(AJ$11:AJ47,AJ47)-1),(RANK(AJ47,AJ$11:AJ$333)+COUNTIF(AJ$11:AJ47,AJ47)-1)))</f>
        <v>37</v>
      </c>
      <c r="AL47" s="3">
        <f t="shared" si="16"/>
        <v>37</v>
      </c>
      <c r="AM47" t="str">
        <f t="shared" si="6"/>
        <v>Swindon</v>
      </c>
      <c r="AN47">
        <f t="shared" si="7"/>
        <v>95.87</v>
      </c>
      <c r="AP47" s="5" t="str">
        <f>IF(L47="","",VLOOKUP($L47,classifications!$C:$E,3,FALSE))</f>
        <v>South West</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96.87</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97.63</v>
      </c>
      <c r="G48" s="15"/>
      <c r="H48" s="41" t="str">
        <f t="shared" si="1"/>
        <v/>
      </c>
      <c r="I48" s="73" t="str">
        <f>IF(H48="","",IF($I$8="A",(RANK(H48,H$11:H$333,1)+COUNTIF(H$11:H48,H48)-1),(RANK(H48,H$11:H$333)+COUNTIF(H$11:H48,H48)-1)))</f>
        <v/>
      </c>
      <c r="J48" s="40"/>
      <c r="K48" s="35">
        <f t="shared" si="10"/>
        <v>38</v>
      </c>
      <c r="L48" t="str">
        <f t="shared" si="2"/>
        <v>Isle Of Wight</v>
      </c>
      <c r="M48" s="109">
        <f t="shared" si="3"/>
        <v>95.71</v>
      </c>
      <c r="N48" s="104">
        <f t="shared" si="19"/>
        <v>95.71</v>
      </c>
      <c r="O48" s="89" t="str">
        <f t="shared" si="20"/>
        <v/>
      </c>
      <c r="P48" s="89" t="str">
        <f t="shared" si="21"/>
        <v/>
      </c>
      <c r="Q48" s="89">
        <f t="shared" si="22"/>
        <v>95.71</v>
      </c>
      <c r="R48" s="85" t="str">
        <f t="shared" si="23"/>
        <v/>
      </c>
      <c r="S48" s="41" t="str">
        <f t="shared" si="24"/>
        <v/>
      </c>
      <c r="T48" s="166" t="str">
        <f>IF(L48="","",VLOOKUP(L48,classifications!C:K,9,FALSE))</f>
        <v>Sparse</v>
      </c>
      <c r="U48" s="167">
        <f t="shared" si="25"/>
        <v>95.71</v>
      </c>
      <c r="V48" s="173">
        <f>IF(U48="","",IF($I$8="A",(RANK(U48,U$11:U$333)+COUNTIF(U$11:U48,U48)-1),(RANK(U48,U$11:U$333,1)+COUNTIF(U$11:U48,U48)-1)))</f>
        <v>3</v>
      </c>
      <c r="W48" s="174"/>
      <c r="X48" s="5" t="str">
        <f>IF(L48="","",VLOOKUP($L48,classifications!$C:$J,6,FALSE))</f>
        <v xml:space="preserve">Predominantly Rural </v>
      </c>
      <c r="Y48">
        <f t="shared" si="26"/>
        <v>95.71</v>
      </c>
      <c r="Z48" s="39">
        <f>IF(Y48="","",IF(I$8="A",(RANK(Y48,Y$11:Y$333,1)+COUNTIF(Y$11:Y48,Y48)-1),(RANK(Y48,Y$11:Y$333)+COUNTIF(Y$11:Y48,Y48)-1)))</f>
        <v>21</v>
      </c>
      <c r="AA48" s="177" t="str">
        <f>IF(L48="","",VLOOKUP($L48,classifications!C:I,7,FALSE))</f>
        <v>Predominantly Rural</v>
      </c>
      <c r="AB48" s="173" t="str">
        <f t="shared" si="27"/>
        <v/>
      </c>
      <c r="AC48" s="173" t="str">
        <f>IF(AB48="","",IF($I$8="A",(RANK(AB48,AB$11:AB$333)+COUNTIF(AB$11:AB48,AB48)-1),(RANK(AB48,AB$11:AB$333,1)+COUNTIF(AB$11:AB48,AB48)-1)))</f>
        <v/>
      </c>
      <c r="AD48" s="173"/>
      <c r="AE48" s="45">
        <f>IF(I$8="A",(RANK(AG48,AG$11:AG$333,1)+COUNTIF(AG$11:AG48,AG48)-1),(RANK(AG48,AG$11:AG$333)+COUNTIF(AG$11:AG48,AG48)-1))</f>
        <v>38</v>
      </c>
      <c r="AF48" t="str">
        <f>VLOOKUP(Profile!$J$5,Families!$C:$R,2,FALSE)</f>
        <v>Cheshire West &amp; Chester</v>
      </c>
      <c r="AG48" s="15">
        <f t="shared" si="15"/>
        <v>96.98</v>
      </c>
      <c r="AH48" s="46">
        <f t="shared" si="28"/>
        <v>38</v>
      </c>
      <c r="AI48" s="5" t="str">
        <f>IF(L48="","",VLOOKUP($L48,classifications!$C:$J,8,FALSE))</f>
        <v>Unitary</v>
      </c>
      <c r="AJ48" s="42">
        <f t="shared" si="29"/>
        <v>95.71</v>
      </c>
      <c r="AK48" s="39">
        <f>IF(AJ48="","",IF(I$8="A",(RANK(AJ48,AJ$11:AJ$333,1)+COUNTIF(AJ$11:AJ48,AJ48)-1),(RANK(AJ48,AJ$11:AJ$333)+COUNTIF(AJ$11:AJ48,AJ48)-1)))</f>
        <v>38</v>
      </c>
      <c r="AL48" s="3">
        <f t="shared" si="16"/>
        <v>38</v>
      </c>
      <c r="AM48" t="str">
        <f t="shared" si="6"/>
        <v>Isle Of Wight</v>
      </c>
      <c r="AN48">
        <f t="shared" si="7"/>
        <v>95.71</v>
      </c>
      <c r="AP48" s="5" t="str">
        <f>IF(L48="","",VLOOKUP($L48,classifications!$C:$E,3,FALSE))</f>
        <v>South East</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97.63</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98.46</v>
      </c>
      <c r="G49" s="15"/>
      <c r="H49" s="41">
        <f t="shared" si="1"/>
        <v>98.46</v>
      </c>
      <c r="I49" s="73">
        <f>IF(H49="","",IF($I$8="A",(RANK(H49,H$11:H$333,1)+COUNTIF(H$11:H49,H49)-1),(RANK(H49,H$11:H$333)+COUNTIF(H$11:H49,H49)-1)))</f>
        <v>2</v>
      </c>
      <c r="J49" s="40"/>
      <c r="K49" s="35">
        <f t="shared" si="10"/>
        <v>39</v>
      </c>
      <c r="L49" t="str">
        <f t="shared" si="2"/>
        <v>Peterborough</v>
      </c>
      <c r="M49" s="109">
        <f t="shared" si="3"/>
        <v>95.7</v>
      </c>
      <c r="N49" s="104">
        <f t="shared" si="19"/>
        <v>95.7</v>
      </c>
      <c r="O49" s="89" t="str">
        <f t="shared" si="20"/>
        <v/>
      </c>
      <c r="P49" s="89" t="str">
        <f t="shared" si="21"/>
        <v/>
      </c>
      <c r="Q49" s="89">
        <f t="shared" si="22"/>
        <v>95.7</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Urban</v>
      </c>
      <c r="Y49" t="str">
        <f t="shared" si="26"/>
        <v/>
      </c>
      <c r="Z49" s="39" t="str">
        <f>IF(Y49="","",IF(I$8="A",(RANK(Y49,Y$11:Y$333,1)+COUNTIF(Y$11:Y49,Y49)-1),(RANK(Y49,Y$11:Y$333)+COUNTIF(Y$11:Y49,Y49)-1)))</f>
        <v/>
      </c>
      <c r="AA49" s="177" t="str">
        <f>IF(L49="","",VLOOKUP($L49,classifications!C:I,7,FALSE))</f>
        <v>Predominantly Urban</v>
      </c>
      <c r="AB49" s="173" t="str">
        <f t="shared" si="27"/>
        <v/>
      </c>
      <c r="AC49" s="173" t="str">
        <f>IF(AB49="","",IF($I$8="A",(RANK(AB49,AB$11:AB$333)+COUNTIF(AB$11:AB49,AB49)-1),(RANK(AB49,AB$11:AB$333,1)+COUNTIF(AB$11:AB49,AB49)-1)))</f>
        <v/>
      </c>
      <c r="AD49" s="173"/>
      <c r="AE49" s="45">
        <f>IF(I$8="A",(RANK(AG49,AG$11:AG$333,1)+COUNTIF(AG$11:AG49,AG49)-1),(RANK(AG49,AG$11:AG$333)+COUNTIF(AG$11:AG49,AG49)-1))</f>
        <v>39</v>
      </c>
      <c r="AF49" t="str">
        <f>VLOOKUP(Profile!$J$5,Families!$C:$R,2,FALSE)</f>
        <v>Cheshire West &amp; Chester</v>
      </c>
      <c r="AG49" s="15">
        <f t="shared" si="15"/>
        <v>96.98</v>
      </c>
      <c r="AH49" s="46">
        <f t="shared" si="28"/>
        <v>39</v>
      </c>
      <c r="AI49" s="5" t="str">
        <f>IF(L49="","",VLOOKUP($L49,classifications!$C:$J,8,FALSE))</f>
        <v>Unitary</v>
      </c>
      <c r="AJ49" s="42">
        <f t="shared" si="29"/>
        <v>95.7</v>
      </c>
      <c r="AK49" s="39">
        <f>IF(AJ49="","",IF(I$8="A",(RANK(AJ49,AJ$11:AJ$333,1)+COUNTIF(AJ$11:AJ49,AJ49)-1),(RANK(AJ49,AJ$11:AJ$333)+COUNTIF(AJ$11:AJ49,AJ49)-1)))</f>
        <v>39</v>
      </c>
      <c r="AL49" s="3">
        <f t="shared" si="16"/>
        <v>39</v>
      </c>
      <c r="AM49" t="str">
        <f t="shared" si="6"/>
        <v>Peterborough</v>
      </c>
      <c r="AN49">
        <f t="shared" si="7"/>
        <v>95.7</v>
      </c>
      <c r="AP49" s="5" t="str">
        <f>IF(L49="","",VLOOKUP($L49,classifications!$C:$E,3,FALSE))</f>
        <v>East of England</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98.46</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93.74</v>
      </c>
      <c r="G50" s="15"/>
      <c r="H50" s="41" t="str">
        <f t="shared" si="1"/>
        <v/>
      </c>
      <c r="I50" s="73" t="str">
        <f>IF(H50="","",IF($I$8="A",(RANK(H50,H$11:H$333,1)+COUNTIF(H$11:H50,H50)-1),(RANK(H50,H$11:H$333)+COUNTIF(H$11:H50,H50)-1)))</f>
        <v/>
      </c>
      <c r="J50" s="40"/>
      <c r="K50" s="35">
        <f t="shared" si="10"/>
        <v>40</v>
      </c>
      <c r="L50" t="str">
        <f t="shared" si="2"/>
        <v>Reading</v>
      </c>
      <c r="M50" s="109">
        <f t="shared" si="3"/>
        <v>95.67</v>
      </c>
      <c r="N50" s="104">
        <f t="shared" si="19"/>
        <v>95.67</v>
      </c>
      <c r="O50" s="89" t="str">
        <f t="shared" si="20"/>
        <v/>
      </c>
      <c r="P50" s="89" t="str">
        <f t="shared" si="21"/>
        <v/>
      </c>
      <c r="Q50" s="89">
        <f t="shared" si="22"/>
        <v>95.67</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Predominantly Urban</v>
      </c>
      <c r="Y50" t="str">
        <f t="shared" si="26"/>
        <v/>
      </c>
      <c r="Z50" s="39" t="str">
        <f>IF(Y50="","",IF(I$8="A",(RANK(Y50,Y$11:Y$333,1)+COUNTIF(Y$11:Y50,Y50)-1),(RANK(Y50,Y$11:Y$333)+COUNTIF(Y$11:Y50,Y50)-1)))</f>
        <v/>
      </c>
      <c r="AA50" s="177" t="str">
        <f>IF(L50="","",VLOOKUP($L50,classifications!C:I,7,FALSE))</f>
        <v>Predominantly Urban</v>
      </c>
      <c r="AB50" s="173" t="str">
        <f t="shared" si="27"/>
        <v/>
      </c>
      <c r="AC50" s="173" t="str">
        <f>IF(AB50="","",IF($I$8="A",(RANK(AB50,AB$11:AB$333)+COUNTIF(AB$11:AB50,AB50)-1),(RANK(AB50,AB$11:AB$333,1)+COUNTIF(AB$11:AB50,AB50)-1)))</f>
        <v/>
      </c>
      <c r="AD50" s="173"/>
      <c r="AE50" s="45">
        <f>IF(I$8="A",(RANK(AG50,AG$11:AG$333,1)+COUNTIF(AG$11:AG50,AG50)-1),(RANK(AG50,AG$11:AG$333)+COUNTIF(AG$11:AG50,AG50)-1))</f>
        <v>40</v>
      </c>
      <c r="AF50" t="str">
        <f>VLOOKUP(Profile!$J$5,Families!$C:$R,2,FALSE)</f>
        <v>Cheshire West &amp; Chester</v>
      </c>
      <c r="AG50" s="15">
        <f t="shared" si="15"/>
        <v>96.98</v>
      </c>
      <c r="AH50" s="46">
        <f t="shared" si="28"/>
        <v>40</v>
      </c>
      <c r="AI50" s="5" t="str">
        <f>IF(L50="","",VLOOKUP($L50,classifications!$C:$J,8,FALSE))</f>
        <v>Unitary</v>
      </c>
      <c r="AJ50" s="42">
        <f t="shared" si="29"/>
        <v>95.67</v>
      </c>
      <c r="AK50" s="39">
        <f>IF(AJ50="","",IF(I$8="A",(RANK(AJ50,AJ$11:AJ$333,1)+COUNTIF(AJ$11:AJ50,AJ50)-1),(RANK(AJ50,AJ$11:AJ$333)+COUNTIF(AJ$11:AJ50,AJ50)-1)))</f>
        <v>40</v>
      </c>
      <c r="AL50" s="3">
        <f t="shared" si="16"/>
        <v>40</v>
      </c>
      <c r="AM50" t="str">
        <f t="shared" si="6"/>
        <v>Reading</v>
      </c>
      <c r="AN50">
        <f t="shared" si="7"/>
        <v>95.67</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93.74</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95.25</v>
      </c>
      <c r="G51" s="15"/>
      <c r="H51" s="41" t="str">
        <f t="shared" si="1"/>
        <v/>
      </c>
      <c r="I51" s="73" t="str">
        <f>IF(H51="","",IF($I$8="A",(RANK(H51,H$11:H$333,1)+COUNTIF(H$11:H51,H51)-1),(RANK(H51,H$11:H$333)+COUNTIF(H$11:H51,H51)-1)))</f>
        <v/>
      </c>
      <c r="J51" s="40"/>
      <c r="K51" s="35">
        <f t="shared" si="10"/>
        <v>41</v>
      </c>
      <c r="L51" t="str">
        <f t="shared" si="2"/>
        <v>Durham</v>
      </c>
      <c r="M51" s="109">
        <f t="shared" si="3"/>
        <v>95.37</v>
      </c>
      <c r="N51" s="104">
        <f t="shared" si="19"/>
        <v>95.37</v>
      </c>
      <c r="O51" s="89" t="str">
        <f t="shared" si="20"/>
        <v/>
      </c>
      <c r="P51" s="89" t="str">
        <f t="shared" si="21"/>
        <v/>
      </c>
      <c r="Q51" s="89">
        <f t="shared" si="22"/>
        <v>95.37</v>
      </c>
      <c r="R51" s="85" t="str">
        <f t="shared" si="23"/>
        <v/>
      </c>
      <c r="S51" s="41" t="str">
        <f t="shared" si="24"/>
        <v/>
      </c>
      <c r="T51" s="166" t="str">
        <f>IF(L51="","",VLOOKUP(L51,classifications!C:K,9,FALSE))</f>
        <v>Sparse</v>
      </c>
      <c r="U51" s="167">
        <f t="shared" si="25"/>
        <v>95.37</v>
      </c>
      <c r="V51" s="173">
        <f>IF(U51="","",IF($I$8="A",(RANK(U51,U$11:U$333)+COUNTIF(U$11:U51,U51)-1),(RANK(U51,U$11:U$333,1)+COUNTIF(U$11:U51,U51)-1)))</f>
        <v>2</v>
      </c>
      <c r="W51" s="174"/>
      <c r="X51" s="5" t="str">
        <f>IF(L51="","",VLOOKUP($L51,classifications!$C:$J,6,FALSE))</f>
        <v xml:space="preserve">Predominantly Rural </v>
      </c>
      <c r="Y51">
        <f t="shared" si="26"/>
        <v>95.37</v>
      </c>
      <c r="Z51" s="39">
        <f>IF(Y51="","",IF(I$8="A",(RANK(Y51,Y$11:Y$333,1)+COUNTIF(Y$11:Y51,Y51)-1),(RANK(Y51,Y$11:Y$333)+COUNTIF(Y$11:Y51,Y51)-1)))</f>
        <v>22</v>
      </c>
      <c r="AA51" s="177" t="str">
        <f>IF(L51="","",VLOOKUP($L51,classifications!C:I,7,FALSE))</f>
        <v>Predominantly Rural</v>
      </c>
      <c r="AB51" s="173" t="str">
        <f t="shared" si="27"/>
        <v/>
      </c>
      <c r="AC51" s="173" t="str">
        <f>IF(AB51="","",IF($I$8="A",(RANK(AB51,AB$11:AB$333)+COUNTIF(AB$11:AB51,AB51)-1),(RANK(AB51,AB$11:AB$333,1)+COUNTIF(AB$11:AB51,AB51)-1)))</f>
        <v/>
      </c>
      <c r="AD51" s="173"/>
      <c r="AE51" s="45">
        <f>IF(I$8="A",(RANK(AG51,AG$11:AG$333,1)+COUNTIF(AG$11:AG51,AG51)-1),(RANK(AG51,AG$11:AG$333)+COUNTIF(AG$11:AG51,AG51)-1))</f>
        <v>41</v>
      </c>
      <c r="AF51" t="str">
        <f>VLOOKUP(Profile!$J$5,Families!$C:$R,2,FALSE)</f>
        <v>Cheshire West &amp; Chester</v>
      </c>
      <c r="AG51" s="15">
        <f t="shared" si="15"/>
        <v>96.98</v>
      </c>
      <c r="AH51" s="46">
        <f t="shared" si="28"/>
        <v>41</v>
      </c>
      <c r="AI51" s="5" t="str">
        <f>IF(L51="","",VLOOKUP($L51,classifications!$C:$J,8,FALSE))</f>
        <v>Unitary</v>
      </c>
      <c r="AJ51" s="42">
        <f t="shared" si="29"/>
        <v>95.37</v>
      </c>
      <c r="AK51" s="39">
        <f>IF(AJ51="","",IF(I$8="A",(RANK(AJ51,AJ$11:AJ$333,1)+COUNTIF(AJ$11:AJ51,AJ51)-1),(RANK(AJ51,AJ$11:AJ$333)+COUNTIF(AJ$11:AJ51,AJ51)-1)))</f>
        <v>41</v>
      </c>
      <c r="AL51" s="3">
        <f t="shared" si="16"/>
        <v>41</v>
      </c>
      <c r="AM51" t="str">
        <f t="shared" si="6"/>
        <v>Durham</v>
      </c>
      <c r="AN51">
        <f t="shared" si="7"/>
        <v>95.37</v>
      </c>
      <c r="AP51" s="5" t="str">
        <f>IF(L51="","",VLOOKUP($L51,classifications!$C:$E,3,FALSE))</f>
        <v>NE</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95.25</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95.86</v>
      </c>
      <c r="G52" s="15"/>
      <c r="H52" s="41" t="str">
        <f t="shared" si="1"/>
        <v/>
      </c>
      <c r="I52" s="73" t="str">
        <f>IF(H52="","",IF($I$8="A",(RANK(H52,H$11:H$333,1)+COUNTIF(H$11:H52,H52)-1),(RANK(H52,H$11:H$333)+COUNTIF(H$11:H52,H52)-1)))</f>
        <v/>
      </c>
      <c r="J52" s="40"/>
      <c r="K52" s="35">
        <f t="shared" si="10"/>
        <v>42</v>
      </c>
      <c r="L52" t="str">
        <f t="shared" si="2"/>
        <v>Blackburn with Darwen</v>
      </c>
      <c r="M52" s="109">
        <f t="shared" si="3"/>
        <v>95.3</v>
      </c>
      <c r="N52" s="104">
        <f t="shared" si="19"/>
        <v>95.3</v>
      </c>
      <c r="O52" s="89" t="str">
        <f t="shared" si="20"/>
        <v/>
      </c>
      <c r="P52" s="89" t="str">
        <f t="shared" si="21"/>
        <v/>
      </c>
      <c r="Q52" s="89">
        <f t="shared" si="22"/>
        <v>95.3</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f>IF(I$8="A",(RANK(AG52,AG$11:AG$333,1)+COUNTIF(AG$11:AG52,AG52)-1),(RANK(AG52,AG$11:AG$333)+COUNTIF(AG$11:AG52,AG52)-1))</f>
        <v>42</v>
      </c>
      <c r="AF52" t="str">
        <f>VLOOKUP(Profile!$J$5,Families!$C:$R,2,FALSE)</f>
        <v>Cheshire West &amp; Chester</v>
      </c>
      <c r="AG52" s="15">
        <f t="shared" si="15"/>
        <v>96.98</v>
      </c>
      <c r="AH52" s="46">
        <f t="shared" si="28"/>
        <v>42</v>
      </c>
      <c r="AI52" s="5" t="str">
        <f>IF(L52="","",VLOOKUP($L52,classifications!$C:$J,8,FALSE))</f>
        <v>Unitary</v>
      </c>
      <c r="AJ52" s="42">
        <f t="shared" si="29"/>
        <v>95.3</v>
      </c>
      <c r="AK52" s="39">
        <f>IF(AJ52="","",IF(I$8="A",(RANK(AJ52,AJ$11:AJ$333,1)+COUNTIF(AJ$11:AJ52,AJ52)-1),(RANK(AJ52,AJ$11:AJ$333)+COUNTIF(AJ$11:AJ52,AJ52)-1)))</f>
        <v>42</v>
      </c>
      <c r="AL52" s="3">
        <f t="shared" si="16"/>
        <v>42</v>
      </c>
      <c r="AM52" t="str">
        <f t="shared" si="6"/>
        <v>Blackburn with Darwen</v>
      </c>
      <c r="AN52">
        <f t="shared" si="7"/>
        <v>95.3</v>
      </c>
      <c r="AP52" s="5" t="str">
        <f>IF(L52="","",VLOOKUP($L52,classifications!$C:$E,3,FALSE))</f>
        <v>North West</v>
      </c>
      <c r="AQ52" s="42">
        <f t="shared" si="30"/>
        <v>95.3</v>
      </c>
      <c r="AR52" s="39">
        <f>IF(AQ52="","",IF(I$8="A",(RANK(AQ52,AQ$11:AQ$333,1)+COUNTIF(AQ$11:AQ52,AQ52)-1),(RANK(AQ52,AQ$11:AQ$333)+COUNTIF(AQ$11:AQ52,AQ52)-1)))</f>
        <v>6</v>
      </c>
      <c r="AS52" s="3" t="str">
        <f t="shared" si="18"/>
        <v/>
      </c>
      <c r="AT52" s="39" t="str">
        <f t="shared" si="8"/>
        <v/>
      </c>
      <c r="AU52" s="42" t="str">
        <f t="shared" si="9"/>
        <v/>
      </c>
      <c r="AX52">
        <f>HLOOKUP($AX$9&amp;$AX$10,Data!$A$1:$ZT$1975,(MATCH($C52,Data!$A$1:$A$1975,0)),FALSE)</f>
        <v>95.86</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99.27</v>
      </c>
      <c r="G53" s="15"/>
      <c r="H53" s="41" t="str">
        <f t="shared" si="1"/>
        <v/>
      </c>
      <c r="I53" s="73" t="str">
        <f>IF(H53="","",IF($I$8="A",(RANK(H53,H$11:H$333,1)+COUNTIF(H$11:H53,H53)-1),(RANK(H53,H$11:H$333)+COUNTIF(H$11:H53,H53)-1)))</f>
        <v/>
      </c>
      <c r="J53" s="40"/>
      <c r="K53" s="35">
        <f t="shared" si="10"/>
        <v>43</v>
      </c>
      <c r="L53" t="str">
        <f t="shared" si="2"/>
        <v>Stockton-on-Tees</v>
      </c>
      <c r="M53" s="109">
        <f t="shared" si="3"/>
        <v>95.09</v>
      </c>
      <c r="N53" s="104">
        <f t="shared" si="19"/>
        <v>95.09</v>
      </c>
      <c r="O53" s="89" t="str">
        <f t="shared" si="20"/>
        <v/>
      </c>
      <c r="P53" s="89" t="str">
        <f t="shared" si="21"/>
        <v/>
      </c>
      <c r="Q53" s="89">
        <f t="shared" si="22"/>
        <v>95.09</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Predominantly Urban</v>
      </c>
      <c r="Y53" t="str">
        <f t="shared" si="26"/>
        <v/>
      </c>
      <c r="Z53" s="39" t="str">
        <f>IF(Y53="","",IF(I$8="A",(RANK(Y53,Y$11:Y$333,1)+COUNTIF(Y$11:Y53,Y53)-1),(RANK(Y53,Y$11:Y$333)+COUNTIF(Y$11:Y53,Y53)-1)))</f>
        <v/>
      </c>
      <c r="AA53" s="177" t="str">
        <f>IF(L53="","",VLOOKUP($L53,classifications!C:I,7,FALSE))</f>
        <v>Predominantly Urban</v>
      </c>
      <c r="AB53" s="173" t="str">
        <f t="shared" si="27"/>
        <v/>
      </c>
      <c r="AC53" s="173" t="str">
        <f>IF(AB53="","",IF($I$8="A",(RANK(AB53,AB$11:AB$333)+COUNTIF(AB$11:AB53,AB53)-1),(RANK(AB53,AB$11:AB$333,1)+COUNTIF(AB$11:AB53,AB53)-1)))</f>
        <v/>
      </c>
      <c r="AD53" s="173"/>
      <c r="AE53" s="45">
        <f>IF(I$8="A",(RANK(AG53,AG$11:AG$333,1)+COUNTIF(AG$11:AG53,AG53)-1),(RANK(AG53,AG$11:AG$333)+COUNTIF(AG$11:AG53,AG53)-1))</f>
        <v>43</v>
      </c>
      <c r="AF53" t="str">
        <f>VLOOKUP(Profile!$J$5,Families!$C:$R,2,FALSE)</f>
        <v>Cheshire West &amp; Chester</v>
      </c>
      <c r="AG53" s="15">
        <f t="shared" si="15"/>
        <v>96.98</v>
      </c>
      <c r="AH53" s="46">
        <f t="shared" si="28"/>
        <v>43</v>
      </c>
      <c r="AI53" s="5" t="str">
        <f>IF(L53="","",VLOOKUP($L53,classifications!$C:$J,8,FALSE))</f>
        <v>Unitary</v>
      </c>
      <c r="AJ53" s="42">
        <f t="shared" si="29"/>
        <v>95.09</v>
      </c>
      <c r="AK53" s="39">
        <f>IF(AJ53="","",IF(I$8="A",(RANK(AJ53,AJ$11:AJ$333,1)+COUNTIF(AJ$11:AJ53,AJ53)-1),(RANK(AJ53,AJ$11:AJ$333)+COUNTIF(AJ$11:AJ53,AJ53)-1)))</f>
        <v>43</v>
      </c>
      <c r="AL53" s="3">
        <f t="shared" si="16"/>
        <v>43</v>
      </c>
      <c r="AM53" t="str">
        <f t="shared" si="6"/>
        <v>Stockton-on-Tees</v>
      </c>
      <c r="AN53">
        <f t="shared" si="7"/>
        <v>95.09</v>
      </c>
      <c r="AP53" s="5" t="str">
        <f>IF(L53="","",VLOOKUP($L53,classifications!$C:$E,3,FALSE))</f>
        <v>NE</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99.27</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Stoke-on-Trent</v>
      </c>
      <c r="M54" s="109">
        <f t="shared" si="3"/>
        <v>94.96</v>
      </c>
      <c r="N54" s="104">
        <f t="shared" si="19"/>
        <v>94.96</v>
      </c>
      <c r="O54" s="89" t="str">
        <f t="shared" si="20"/>
        <v/>
      </c>
      <c r="P54" s="89" t="str">
        <f t="shared" si="21"/>
        <v/>
      </c>
      <c r="Q54" s="89">
        <f t="shared" si="22"/>
        <v>94.96</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96.98</v>
      </c>
      <c r="AH54" s="46">
        <f t="shared" si="28"/>
        <v>44</v>
      </c>
      <c r="AI54" s="5" t="str">
        <f>IF(L54="","",VLOOKUP($L54,classifications!$C:$J,8,FALSE))</f>
        <v>Unitary</v>
      </c>
      <c r="AJ54" s="42">
        <f t="shared" si="29"/>
        <v>94.96</v>
      </c>
      <c r="AK54" s="39">
        <f>IF(AJ54="","",IF(I$8="A",(RANK(AJ54,AJ$11:AJ$333,1)+COUNTIF(AJ$11:AJ54,AJ54)-1),(RANK(AJ54,AJ$11:AJ$333)+COUNTIF(AJ$11:AJ54,AJ54)-1)))</f>
        <v>44</v>
      </c>
      <c r="AL54" s="3">
        <f t="shared" si="16"/>
        <v>44</v>
      </c>
      <c r="AM54" t="str">
        <f t="shared" si="6"/>
        <v>Stoke-on-Trent</v>
      </c>
      <c r="AN54">
        <f t="shared" si="7"/>
        <v>94.96</v>
      </c>
      <c r="AP54" s="5" t="str">
        <f>IF(L54="","",VLOOKUP($L54,classifications!$C:$E,3,FALSE))</f>
        <v>West Midlands</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94.08</v>
      </c>
      <c r="G55" s="15"/>
      <c r="H55" s="41" t="str">
        <f t="shared" si="1"/>
        <v/>
      </c>
      <c r="I55" s="73" t="str">
        <f>IF(H55="","",IF($I$8="A",(RANK(H55,H$11:H$333,1)+COUNTIF(H$11:H55,H55)-1),(RANK(H55,H$11:H$333)+COUNTIF(H$11:H55,H55)-1)))</f>
        <v/>
      </c>
      <c r="J55" s="40"/>
      <c r="K55" s="35">
        <f t="shared" si="10"/>
        <v>45</v>
      </c>
      <c r="L55" t="str">
        <f t="shared" si="2"/>
        <v>Luton</v>
      </c>
      <c r="M55" s="109">
        <f t="shared" si="3"/>
        <v>94.75</v>
      </c>
      <c r="N55" s="104">
        <f t="shared" si="19"/>
        <v>94.75</v>
      </c>
      <c r="O55" s="89" t="str">
        <f t="shared" si="20"/>
        <v/>
      </c>
      <c r="P55" s="89" t="str">
        <f t="shared" si="21"/>
        <v/>
      </c>
      <c r="Q55" s="89">
        <f t="shared" si="22"/>
        <v>94.75</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f>IF(I$8="A",(RANK(AG55,AG$11:AG$333,1)+COUNTIF(AG$11:AG55,AG55)-1),(RANK(AG55,AG$11:AG$333)+COUNTIF(AG$11:AG55,AG55)-1))</f>
        <v>45</v>
      </c>
      <c r="AF55" t="str">
        <f>VLOOKUP(Profile!$J$5,Families!$C:$R,2,FALSE)</f>
        <v>Cheshire West &amp; Chester</v>
      </c>
      <c r="AG55" s="15">
        <f t="shared" si="15"/>
        <v>96.98</v>
      </c>
      <c r="AH55" s="46">
        <f t="shared" si="28"/>
        <v>45</v>
      </c>
      <c r="AI55" s="5" t="str">
        <f>IF(L55="","",VLOOKUP($L55,classifications!$C:$J,8,FALSE))</f>
        <v>Unitary</v>
      </c>
      <c r="AJ55" s="42">
        <f t="shared" si="29"/>
        <v>94.75</v>
      </c>
      <c r="AK55" s="39">
        <f>IF(AJ55="","",IF(I$8="A",(RANK(AJ55,AJ$11:AJ$333,1)+COUNTIF(AJ$11:AJ55,AJ55)-1),(RANK(AJ55,AJ$11:AJ$333)+COUNTIF(AJ$11:AJ55,AJ55)-1)))</f>
        <v>45</v>
      </c>
      <c r="AL55" s="3">
        <f t="shared" si="16"/>
        <v>45</v>
      </c>
      <c r="AM55" t="str">
        <f t="shared" si="6"/>
        <v>Luton</v>
      </c>
      <c r="AN55">
        <f t="shared" si="7"/>
        <v>94.75</v>
      </c>
      <c r="AP55" s="5" t="str">
        <f>IF(L55="","",VLOOKUP($L55,classifications!$C:$E,3,FALSE))</f>
        <v>East of England</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94.08</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96.76</v>
      </c>
      <c r="G56" s="15"/>
      <c r="H56" s="41" t="str">
        <f t="shared" si="1"/>
        <v/>
      </c>
      <c r="I56" s="73" t="str">
        <f>IF(H56="","",IF($I$8="A",(RANK(H56,H$11:H$333,1)+COUNTIF(H$11:H56,H56)-1),(RANK(H56,H$11:H$333)+COUNTIF(H$11:H56,H56)-1)))</f>
        <v/>
      </c>
      <c r="J56" s="40"/>
      <c r="K56" s="35">
        <f t="shared" si="10"/>
        <v>46</v>
      </c>
      <c r="L56" t="str">
        <f t="shared" si="2"/>
        <v>Slough</v>
      </c>
      <c r="M56" s="109">
        <f t="shared" si="3"/>
        <v>94.61</v>
      </c>
      <c r="N56" s="104">
        <f t="shared" si="19"/>
        <v>94.61</v>
      </c>
      <c r="O56" s="89" t="str">
        <f t="shared" si="20"/>
        <v/>
      </c>
      <c r="P56" s="89" t="str">
        <f t="shared" si="21"/>
        <v/>
      </c>
      <c r="Q56" s="89">
        <f t="shared" si="22"/>
        <v>94.61</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f>IF(I$8="A",(RANK(AG56,AG$11:AG$333,1)+COUNTIF(AG$11:AG56,AG56)-1),(RANK(AG56,AG$11:AG$333)+COUNTIF(AG$11:AG56,AG56)-1))</f>
        <v>46</v>
      </c>
      <c r="AF56" t="str">
        <f>VLOOKUP(Profile!$J$5,Families!$C:$R,2,FALSE)</f>
        <v>Cheshire West &amp; Chester</v>
      </c>
      <c r="AG56" s="15">
        <f t="shared" si="15"/>
        <v>96.98</v>
      </c>
      <c r="AH56" s="46">
        <f t="shared" si="28"/>
        <v>46</v>
      </c>
      <c r="AI56" s="5" t="str">
        <f>IF(L56="","",VLOOKUP($L56,classifications!$C:$J,8,FALSE))</f>
        <v>Unitary</v>
      </c>
      <c r="AJ56" s="42">
        <f t="shared" si="29"/>
        <v>94.61</v>
      </c>
      <c r="AK56" s="39">
        <f>IF(AJ56="","",IF(I$8="A",(RANK(AJ56,AJ$11:AJ$333,1)+COUNTIF(AJ$11:AJ56,AJ56)-1),(RANK(AJ56,AJ$11:AJ$333)+COUNTIF(AJ$11:AJ56,AJ56)-1)))</f>
        <v>46</v>
      </c>
      <c r="AL56" s="3">
        <f t="shared" si="16"/>
        <v>46</v>
      </c>
      <c r="AM56" t="str">
        <f t="shared" si="6"/>
        <v>Slough</v>
      </c>
      <c r="AN56">
        <f t="shared" si="7"/>
        <v>94.61</v>
      </c>
      <c r="AP56" s="5" t="str">
        <f>IF(L56="","",VLOOKUP($L56,classifications!$C:$E,3,FALSE))</f>
        <v>South East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96.76</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96.51</v>
      </c>
      <c r="G57" s="15"/>
      <c r="H57" s="41" t="str">
        <f t="shared" si="1"/>
        <v/>
      </c>
      <c r="I57" s="73" t="str">
        <f>IF(H57="","",IF($I$8="A",(RANK(H57,H$11:H$333,1)+COUNTIF(H$11:H57,H57)-1),(RANK(H57,H$11:H$333)+COUNTIF(H$11:H57,H57)-1)))</f>
        <v/>
      </c>
      <c r="J57" s="40"/>
      <c r="K57" s="35">
        <f t="shared" si="10"/>
        <v>47</v>
      </c>
      <c r="L57" t="str">
        <f t="shared" si="2"/>
        <v>Brighton &amp; Hove</v>
      </c>
      <c r="M57" s="109">
        <f t="shared" si="3"/>
        <v>94.49</v>
      </c>
      <c r="N57" s="104">
        <f t="shared" si="19"/>
        <v>94.49</v>
      </c>
      <c r="O57" s="89" t="str">
        <f t="shared" si="20"/>
        <v/>
      </c>
      <c r="P57" s="89" t="str">
        <f t="shared" si="21"/>
        <v/>
      </c>
      <c r="Q57" s="89" t="str">
        <f t="shared" si="22"/>
        <v/>
      </c>
      <c r="R57" s="85">
        <f t="shared" si="23"/>
        <v>94.49</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96.98</v>
      </c>
      <c r="AH57" s="46">
        <f t="shared" si="28"/>
        <v>47</v>
      </c>
      <c r="AI57" s="5" t="str">
        <f>IF(L57="","",VLOOKUP($L57,classifications!$C:$J,8,FALSE))</f>
        <v>Unitary</v>
      </c>
      <c r="AJ57" s="42">
        <f t="shared" si="29"/>
        <v>94.49</v>
      </c>
      <c r="AK57" s="39">
        <f>IF(AJ57="","",IF(I$8="A",(RANK(AJ57,AJ$11:AJ$333,1)+COUNTIF(AJ$11:AJ57,AJ57)-1),(RANK(AJ57,AJ$11:AJ$333)+COUNTIF(AJ$11:AJ57,AJ57)-1)))</f>
        <v>47</v>
      </c>
      <c r="AL57" s="3">
        <f t="shared" si="16"/>
        <v>47</v>
      </c>
      <c r="AM57" t="str">
        <f t="shared" si="6"/>
        <v>Brighton &amp; Hove</v>
      </c>
      <c r="AN57">
        <f t="shared" si="7"/>
        <v>94.49</v>
      </c>
      <c r="AP57" s="5" t="str">
        <f>IF(L57="","",VLOOKUP($L57,classifications!$C:$E,3,FALSE))</f>
        <v>South East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96.51</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97.51</v>
      </c>
      <c r="G58" s="15"/>
      <c r="H58" s="41" t="str">
        <f t="shared" si="1"/>
        <v/>
      </c>
      <c r="I58" s="73" t="str">
        <f>IF(H58="","",IF($I$8="A",(RANK(H58,H$11:H$333,1)+COUNTIF(H$11:H58,H58)-1),(RANK(H58,H$11:H$333)+COUNTIF(H$11:H58,H58)-1)))</f>
        <v/>
      </c>
      <c r="J58" s="40"/>
      <c r="K58" s="35">
        <f t="shared" si="10"/>
        <v>48</v>
      </c>
      <c r="L58" t="str">
        <f t="shared" si="2"/>
        <v>Medway</v>
      </c>
      <c r="M58" s="109">
        <f t="shared" si="3"/>
        <v>94.39</v>
      </c>
      <c r="N58" s="104">
        <f t="shared" ref="N58:N121" si="31">IF(L58="","",IF($H$8="%%",M58*100,M58))</f>
        <v>94.39</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94.39</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96.98</v>
      </c>
      <c r="AH58" s="46">
        <f t="shared" ref="AH58:AH121" si="40">AE58</f>
        <v>48</v>
      </c>
      <c r="AI58" s="5" t="str">
        <f>IF(L58="","",VLOOKUP($L58,classifications!$C:$J,8,FALSE))</f>
        <v>Unitary</v>
      </c>
      <c r="AJ58" s="42">
        <f t="shared" ref="AJ58:AJ121" si="41">IF(AI58=$I$3,M58,"")</f>
        <v>94.39</v>
      </c>
      <c r="AK58" s="39">
        <f>IF(AJ58="","",IF(I$8="A",(RANK(AJ58,AJ$11:AJ$333,1)+COUNTIF(AJ$11:AJ58,AJ58)-1),(RANK(AJ58,AJ$11:AJ$333)+COUNTIF(AJ$11:AJ58,AJ58)-1)))</f>
        <v>48</v>
      </c>
      <c r="AL58" s="3">
        <f t="shared" si="16"/>
        <v>48</v>
      </c>
      <c r="AM58" t="str">
        <f t="shared" si="6"/>
        <v>Medway</v>
      </c>
      <c r="AN58">
        <f t="shared" si="7"/>
        <v>94.39</v>
      </c>
      <c r="AP58" s="5" t="str">
        <f>IF(L58="","",VLOOKUP($L58,classifications!$C:$E,3,FALSE))</f>
        <v>South East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97.51</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97.55</v>
      </c>
      <c r="G59" s="15"/>
      <c r="H59" s="41">
        <f t="shared" si="1"/>
        <v>97.55</v>
      </c>
      <c r="I59" s="73">
        <f>IF(H59="","",IF($I$8="A",(RANK(H59,H$11:H$333,1)+COUNTIF(H$11:H59,H59)-1),(RANK(H59,H$11:H$333)+COUNTIF(H$11:H59,H59)-1)))</f>
        <v>11</v>
      </c>
      <c r="J59" s="40"/>
      <c r="K59" s="35">
        <f t="shared" si="10"/>
        <v>49</v>
      </c>
      <c r="L59" t="str">
        <f t="shared" si="2"/>
        <v>North Lincolnshire</v>
      </c>
      <c r="M59" s="109">
        <f t="shared" si="3"/>
        <v>94.31</v>
      </c>
      <c r="N59" s="104">
        <f t="shared" si="31"/>
        <v>94.31</v>
      </c>
      <c r="O59" s="89" t="str">
        <f t="shared" si="32"/>
        <v/>
      </c>
      <c r="P59" s="89" t="str">
        <f t="shared" si="33"/>
        <v/>
      </c>
      <c r="Q59" s="89" t="str">
        <f t="shared" si="34"/>
        <v/>
      </c>
      <c r="R59" s="85">
        <f t="shared" si="35"/>
        <v>94.31</v>
      </c>
      <c r="S59" s="41" t="str">
        <f t="shared" si="36"/>
        <v/>
      </c>
      <c r="T59" s="166" t="str">
        <f>IF(L59="","",VLOOKUP(L59,classifications!C:K,9,FALSE))</f>
        <v>Sparse</v>
      </c>
      <c r="U59" s="167">
        <f t="shared" si="37"/>
        <v>94.31</v>
      </c>
      <c r="V59" s="173">
        <f>IF(U59="","",IF($I$8="A",(RANK(U59,U$11:U$333)+COUNTIF(U$11:U59,U59)-1),(RANK(U59,U$11:U$333,1)+COUNTIF(U$11:U59,U59)-1)))</f>
        <v>1</v>
      </c>
      <c r="W59" s="174"/>
      <c r="X59" s="5" t="str">
        <f>IF(L59="","",VLOOKUP($L59,classifications!$C:$J,6,FALSE))</f>
        <v>Urban with Significant Rural</v>
      </c>
      <c r="Y59">
        <f t="shared" si="38"/>
        <v>94.31</v>
      </c>
      <c r="Z59" s="39">
        <f>IF(Y59="","",IF(I$8="A",(RANK(Y59,Y$11:Y$333,1)+COUNTIF(Y$11:Y59,Y59)-1),(RANK(Y59,Y$11:Y$333)+COUNTIF(Y$11:Y59,Y59)-1)))</f>
        <v>23</v>
      </c>
      <c r="AA59" s="177" t="str">
        <f>IF(L59="","",VLOOKUP($L59,classifications!C:I,7,FALSE))</f>
        <v>Urban with Significant Rural</v>
      </c>
      <c r="AB59" s="173">
        <f t="shared" si="39"/>
        <v>94.31</v>
      </c>
      <c r="AC59" s="173">
        <f>IF(AB59="","",IF($I$8="A",(RANK(AB59,AB$11:AB$333)+COUNTIF(AB$11:AB59,AB59)-1),(RANK(AB59,AB$11:AB$333,1)+COUNTIF(AB$11:AB59,AB59)-1)))</f>
        <v>2</v>
      </c>
      <c r="AD59" s="173"/>
      <c r="AE59" s="45">
        <f>IF(I$8="A",(RANK(AG59,AG$11:AG$333,1)+COUNTIF(AG$11:AG59,AG59)-1),(RANK(AG59,AG$11:AG$333)+COUNTIF(AG$11:AG59,AG59)-1))</f>
        <v>49</v>
      </c>
      <c r="AF59" t="str">
        <f>VLOOKUP(Profile!$J$5,Families!$C:$R,2,FALSE)</f>
        <v>Cheshire West &amp; Chester</v>
      </c>
      <c r="AG59" s="15">
        <f t="shared" si="15"/>
        <v>96.98</v>
      </c>
      <c r="AH59" s="46">
        <f t="shared" si="40"/>
        <v>49</v>
      </c>
      <c r="AI59" s="5" t="str">
        <f>IF(L59="","",VLOOKUP($L59,classifications!$C:$J,8,FALSE))</f>
        <v>Unitary</v>
      </c>
      <c r="AJ59" s="42">
        <f t="shared" si="41"/>
        <v>94.31</v>
      </c>
      <c r="AK59" s="39">
        <f>IF(AJ59="","",IF(I$8="A",(RANK(AJ59,AJ$11:AJ$333,1)+COUNTIF(AJ$11:AJ59,AJ59)-1),(RANK(AJ59,AJ$11:AJ$333)+COUNTIF(AJ$11:AJ59,AJ59)-1)))</f>
        <v>49</v>
      </c>
      <c r="AL59" s="3">
        <f t="shared" si="16"/>
        <v>49</v>
      </c>
      <c r="AM59" t="str">
        <f t="shared" si="6"/>
        <v>North Lincolnshire</v>
      </c>
      <c r="AN59">
        <f t="shared" si="7"/>
        <v>94.31</v>
      </c>
      <c r="AP59" s="5" t="str">
        <f>IF(L59="","",VLOOKUP($L59,classifications!$C:$E,3,FALSE))</f>
        <v>Yorkshire &amp; Humberside</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97.55</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96.76</v>
      </c>
      <c r="G60" s="15"/>
      <c r="H60" s="41" t="str">
        <f t="shared" si="1"/>
        <v/>
      </c>
      <c r="I60" s="73" t="str">
        <f>IF(H60="","",IF($I$8="A",(RANK(H60,H$11:H$333,1)+COUNTIF(H$11:H60,H60)-1),(RANK(H60,H$11:H$333)+COUNTIF(H$11:H60,H60)-1)))</f>
        <v/>
      </c>
      <c r="J60" s="40"/>
      <c r="K60" s="35">
        <f t="shared" si="10"/>
        <v>50</v>
      </c>
      <c r="L60" t="str">
        <f t="shared" si="2"/>
        <v>Southampton</v>
      </c>
      <c r="M60" s="109">
        <f t="shared" si="3"/>
        <v>93.89</v>
      </c>
      <c r="N60" s="104">
        <f t="shared" si="31"/>
        <v>93.89</v>
      </c>
      <c r="O60" s="89" t="str">
        <f t="shared" si="32"/>
        <v/>
      </c>
      <c r="P60" s="89" t="str">
        <f t="shared" si="33"/>
        <v/>
      </c>
      <c r="Q60" s="89" t="str">
        <f t="shared" si="34"/>
        <v/>
      </c>
      <c r="R60" s="85">
        <f t="shared" si="35"/>
        <v>93.89</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f>IF(I$8="A",(RANK(AG60,AG$11:AG$333,1)+COUNTIF(AG$11:AG60,AG60)-1),(RANK(AG60,AG$11:AG$333)+COUNTIF(AG$11:AG60,AG60)-1))</f>
        <v>50</v>
      </c>
      <c r="AF60" t="str">
        <f>VLOOKUP(Profile!$J$5,Families!$C:$R,2,FALSE)</f>
        <v>Cheshire West &amp; Chester</v>
      </c>
      <c r="AG60" s="15">
        <f t="shared" si="15"/>
        <v>96.98</v>
      </c>
      <c r="AH60" s="46">
        <f t="shared" si="40"/>
        <v>50</v>
      </c>
      <c r="AI60" s="5" t="str">
        <f>IF(L60="","",VLOOKUP($L60,classifications!$C:$J,8,FALSE))</f>
        <v>Unitary</v>
      </c>
      <c r="AJ60" s="42">
        <f t="shared" si="41"/>
        <v>93.89</v>
      </c>
      <c r="AK60" s="39">
        <f>IF(AJ60="","",IF(I$8="A",(RANK(AJ60,AJ$11:AJ$333,1)+COUNTIF(AJ$11:AJ60,AJ60)-1),(RANK(AJ60,AJ$11:AJ$333)+COUNTIF(AJ$11:AJ60,AJ60)-1)))</f>
        <v>50</v>
      </c>
      <c r="AL60" s="3">
        <f t="shared" si="16"/>
        <v>50</v>
      </c>
      <c r="AM60" t="str">
        <f t="shared" si="6"/>
        <v>Southampton</v>
      </c>
      <c r="AN60">
        <f t="shared" si="7"/>
        <v>93.89</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96.76</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96.59</v>
      </c>
      <c r="G61" s="15"/>
      <c r="H61" s="41" t="str">
        <f t="shared" si="1"/>
        <v/>
      </c>
      <c r="I61" s="73" t="str">
        <f>IF(H61="","",IF($I$8="A",(RANK(H61,H$11:H$333,1)+COUNTIF(H$11:H61,H61)-1),(RANK(H61,H$11:H$333)+COUNTIF(H$11:H61,H61)-1)))</f>
        <v/>
      </c>
      <c r="J61" s="40"/>
      <c r="K61" s="35">
        <f t="shared" si="10"/>
        <v>51</v>
      </c>
      <c r="L61" t="str">
        <f t="shared" si="2"/>
        <v>Halton</v>
      </c>
      <c r="M61" s="109">
        <f t="shared" si="3"/>
        <v>93.78</v>
      </c>
      <c r="N61" s="104">
        <f t="shared" si="31"/>
        <v>93.78</v>
      </c>
      <c r="O61" s="89" t="str">
        <f t="shared" si="32"/>
        <v/>
      </c>
      <c r="P61" s="89" t="str">
        <f t="shared" si="33"/>
        <v/>
      </c>
      <c r="Q61" s="89" t="str">
        <f t="shared" si="34"/>
        <v/>
      </c>
      <c r="R61" s="85">
        <f t="shared" si="35"/>
        <v>93.78</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f>IF(I$8="A",(RANK(AG61,AG$11:AG$333,1)+COUNTIF(AG$11:AG61,AG61)-1),(RANK(AG61,AG$11:AG$333)+COUNTIF(AG$11:AG61,AG61)-1))</f>
        <v>51</v>
      </c>
      <c r="AF61" t="str">
        <f>VLOOKUP(Profile!$J$5,Families!$C:$R,2,FALSE)</f>
        <v>Cheshire West &amp; Chester</v>
      </c>
      <c r="AG61" s="15">
        <f t="shared" si="15"/>
        <v>96.98</v>
      </c>
      <c r="AH61" s="46">
        <f t="shared" si="40"/>
        <v>51</v>
      </c>
      <c r="AI61" s="5" t="str">
        <f>IF(L61="","",VLOOKUP($L61,classifications!$C:$J,8,FALSE))</f>
        <v>Unitary</v>
      </c>
      <c r="AJ61" s="42">
        <f t="shared" si="41"/>
        <v>93.78</v>
      </c>
      <c r="AK61" s="39">
        <f>IF(AJ61="","",IF(I$8="A",(RANK(AJ61,AJ$11:AJ$333,1)+COUNTIF(AJ$11:AJ61,AJ61)-1),(RANK(AJ61,AJ$11:AJ$333)+COUNTIF(AJ$11:AJ61,AJ61)-1)))</f>
        <v>51</v>
      </c>
      <c r="AL61" s="3">
        <f t="shared" si="16"/>
        <v>51</v>
      </c>
      <c r="AM61" t="str">
        <f t="shared" si="6"/>
        <v>Halton</v>
      </c>
      <c r="AN61">
        <f t="shared" si="7"/>
        <v>93.78</v>
      </c>
      <c r="AP61" s="5" t="str">
        <f>IF(L61="","",VLOOKUP($L61,classifications!$C:$E,3,FALSE))</f>
        <v>North West</v>
      </c>
      <c r="AQ61" s="42">
        <f t="shared" si="42"/>
        <v>93.78</v>
      </c>
      <c r="AR61" s="39">
        <f>IF(AQ61="","",IF(I$8="A",(RANK(AQ61,AQ$11:AQ$333,1)+COUNTIF(AQ$11:AQ61,AQ61)-1),(RANK(AQ61,AQ$11:AQ$333)+COUNTIF(AQ$11:AQ61,AQ61)-1)))</f>
        <v>7</v>
      </c>
      <c r="AS61" s="3" t="str">
        <f t="shared" si="18"/>
        <v/>
      </c>
      <c r="AT61" s="39" t="str">
        <f t="shared" si="8"/>
        <v/>
      </c>
      <c r="AU61" s="42" t="str">
        <f t="shared" si="9"/>
        <v/>
      </c>
      <c r="AX61">
        <f>HLOOKUP($AX$9&amp;$AX$10,Data!$A$1:$ZT$1975,(MATCH($C61,Data!$A$1:$A$1975,0)),FALSE)</f>
        <v>96.59</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98.32</v>
      </c>
      <c r="G62" s="15"/>
      <c r="H62" s="41" t="str">
        <f t="shared" si="1"/>
        <v/>
      </c>
      <c r="I62" s="73" t="str">
        <f>IF(H62="","",IF($I$8="A",(RANK(H62,H$11:H$333,1)+COUNTIF(H$11:H62,H62)-1),(RANK(H62,H$11:H$333)+COUNTIF(H$11:H62,H62)-1)))</f>
        <v/>
      </c>
      <c r="J62" s="40"/>
      <c r="K62" s="35">
        <f t="shared" si="10"/>
        <v>52</v>
      </c>
      <c r="L62" t="str">
        <f t="shared" si="2"/>
        <v>Derby</v>
      </c>
      <c r="M62" s="109">
        <f t="shared" si="3"/>
        <v>93.24</v>
      </c>
      <c r="N62" s="104">
        <f t="shared" si="31"/>
        <v>93.24</v>
      </c>
      <c r="O62" s="89" t="str">
        <f t="shared" si="32"/>
        <v/>
      </c>
      <c r="P62" s="89" t="str">
        <f t="shared" si="33"/>
        <v/>
      </c>
      <c r="Q62" s="89" t="str">
        <f t="shared" si="34"/>
        <v/>
      </c>
      <c r="R62" s="85">
        <f t="shared" si="35"/>
        <v>93.24</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f>IF(I$8="A",(RANK(AG62,AG$11:AG$333,1)+COUNTIF(AG$11:AG62,AG62)-1),(RANK(AG62,AG$11:AG$333)+COUNTIF(AG$11:AG62,AG62)-1))</f>
        <v>52</v>
      </c>
      <c r="AF62" t="str">
        <f>VLOOKUP(Profile!$J$5,Families!$C:$R,2,FALSE)</f>
        <v>Cheshire West &amp; Chester</v>
      </c>
      <c r="AG62" s="15">
        <f t="shared" si="15"/>
        <v>96.98</v>
      </c>
      <c r="AH62" s="46">
        <f t="shared" si="40"/>
        <v>52</v>
      </c>
      <c r="AI62" s="5" t="str">
        <f>IF(L62="","",VLOOKUP($L62,classifications!$C:$J,8,FALSE))</f>
        <v>Unitary</v>
      </c>
      <c r="AJ62" s="42">
        <f t="shared" si="41"/>
        <v>93.24</v>
      </c>
      <c r="AK62" s="39">
        <f>IF(AJ62="","",IF(I$8="A",(RANK(AJ62,AJ$11:AJ$333,1)+COUNTIF(AJ$11:AJ62,AJ62)-1),(RANK(AJ62,AJ$11:AJ$333)+COUNTIF(AJ$11:AJ62,AJ62)-1)))</f>
        <v>52</v>
      </c>
      <c r="AL62" s="3">
        <f t="shared" si="16"/>
        <v>52</v>
      </c>
      <c r="AM62" t="str">
        <f t="shared" si="6"/>
        <v>Derby</v>
      </c>
      <c r="AN62">
        <f t="shared" si="7"/>
        <v>93.24</v>
      </c>
      <c r="AP62" s="5" t="str">
        <f>IF(L62="","",VLOOKUP($L62,classifications!$C:$E,3,FALSE))</f>
        <v>East Midlands</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98.32</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98.02</v>
      </c>
      <c r="G63" s="15"/>
      <c r="H63" s="41" t="str">
        <f t="shared" si="1"/>
        <v/>
      </c>
      <c r="I63" s="73" t="str">
        <f>IF(H63="","",IF($I$8="A",(RANK(H63,H$11:H$333,1)+COUNTIF(H$11:H63,H63)-1),(RANK(H63,H$11:H$333)+COUNTIF(H$11:H63,H63)-1)))</f>
        <v/>
      </c>
      <c r="J63" s="40"/>
      <c r="K63" s="35">
        <f t="shared" si="10"/>
        <v>53</v>
      </c>
      <c r="L63" t="str">
        <f t="shared" si="2"/>
        <v>Bristol</v>
      </c>
      <c r="M63" s="109">
        <f t="shared" si="3"/>
        <v>93.04</v>
      </c>
      <c r="N63" s="104">
        <f t="shared" si="31"/>
        <v>93.04</v>
      </c>
      <c r="O63" s="89" t="str">
        <f t="shared" si="32"/>
        <v/>
      </c>
      <c r="P63" s="89" t="str">
        <f t="shared" si="33"/>
        <v/>
      </c>
      <c r="Q63" s="89" t="str">
        <f t="shared" si="34"/>
        <v/>
      </c>
      <c r="R63" s="85">
        <f t="shared" si="35"/>
        <v>93.04</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96.98</v>
      </c>
      <c r="AH63" s="46">
        <f t="shared" si="40"/>
        <v>53</v>
      </c>
      <c r="AI63" s="5" t="str">
        <f>IF(L63="","",VLOOKUP($L63,classifications!$C:$J,8,FALSE))</f>
        <v>Unitary</v>
      </c>
      <c r="AJ63" s="42">
        <f t="shared" si="41"/>
        <v>93.04</v>
      </c>
      <c r="AK63" s="39">
        <f>IF(AJ63="","",IF(I$8="A",(RANK(AJ63,AJ$11:AJ$333,1)+COUNTIF(AJ$11:AJ63,AJ63)-1),(RANK(AJ63,AJ$11:AJ$333)+COUNTIF(AJ$11:AJ63,AJ63)-1)))</f>
        <v>53</v>
      </c>
      <c r="AL63" s="3">
        <f t="shared" si="16"/>
        <v>53</v>
      </c>
      <c r="AM63" t="str">
        <f t="shared" si="6"/>
        <v>Bristol</v>
      </c>
      <c r="AN63">
        <f t="shared" si="7"/>
        <v>93.04</v>
      </c>
      <c r="AP63" s="5" t="str">
        <f>IF(L63="","",VLOOKUP($L63,classifications!$C:$E,3,FALSE))</f>
        <v>South West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98.02</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97.94</v>
      </c>
      <c r="G64" s="15"/>
      <c r="H64" s="41">
        <f t="shared" si="1"/>
        <v>97.94</v>
      </c>
      <c r="I64" s="73">
        <f>IF(H64="","",IF($I$8="A",(RANK(H64,H$11:H$333,1)+COUNTIF(H$11:H64,H64)-1),(RANK(H64,H$11:H$333)+COUNTIF(H$11:H64,H64)-1)))</f>
        <v>5</v>
      </c>
      <c r="J64" s="40"/>
      <c r="K64" s="35">
        <f t="shared" si="10"/>
        <v>54</v>
      </c>
      <c r="L64" t="str">
        <f t="shared" si="2"/>
        <v>North East Lincolnshire</v>
      </c>
      <c r="M64" s="109">
        <f t="shared" si="3"/>
        <v>92.88</v>
      </c>
      <c r="N64" s="104">
        <f t="shared" si="31"/>
        <v>92.88</v>
      </c>
      <c r="O64" s="89" t="str">
        <f t="shared" si="32"/>
        <v/>
      </c>
      <c r="P64" s="89" t="str">
        <f t="shared" si="33"/>
        <v/>
      </c>
      <c r="Q64" s="89" t="str">
        <f t="shared" si="34"/>
        <v/>
      </c>
      <c r="R64" s="85">
        <f t="shared" si="35"/>
        <v>92.88</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f>IF(I$8="A",(RANK(AG64,AG$11:AG$333,1)+COUNTIF(AG$11:AG64,AG64)-1),(RANK(AG64,AG$11:AG$333)+COUNTIF(AG$11:AG64,AG64)-1))</f>
        <v>54</v>
      </c>
      <c r="AF64" t="str">
        <f>VLOOKUP(Profile!$J$5,Families!$C:$R,2,FALSE)</f>
        <v>Cheshire West &amp; Chester</v>
      </c>
      <c r="AG64" s="15">
        <f t="shared" si="15"/>
        <v>96.98</v>
      </c>
      <c r="AH64" s="46">
        <f t="shared" si="40"/>
        <v>54</v>
      </c>
      <c r="AI64" s="5" t="str">
        <f>IF(L64="","",VLOOKUP($L64,classifications!$C:$J,8,FALSE))</f>
        <v>Unitary</v>
      </c>
      <c r="AJ64" s="42">
        <f t="shared" si="41"/>
        <v>92.88</v>
      </c>
      <c r="AK64" s="39">
        <f>IF(AJ64="","",IF(I$8="A",(RANK(AJ64,AJ$11:AJ$333,1)+COUNTIF(AJ$11:AJ64,AJ64)-1),(RANK(AJ64,AJ$11:AJ$333)+COUNTIF(AJ$11:AJ64,AJ64)-1)))</f>
        <v>54</v>
      </c>
      <c r="AL64" s="3">
        <f t="shared" si="16"/>
        <v>54</v>
      </c>
      <c r="AM64" t="str">
        <f t="shared" si="6"/>
        <v>North East Lincolnshire</v>
      </c>
      <c r="AN64">
        <f t="shared" si="7"/>
        <v>92.88</v>
      </c>
      <c r="AP64" s="5" t="str">
        <f>IF(L64="","",VLOOKUP($L64,classifications!$C:$E,3,FALSE))</f>
        <v>Yorkshire &amp; Humberside</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97.94</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96.98</v>
      </c>
      <c r="G65" s="15"/>
      <c r="H65" s="41">
        <f t="shared" si="1"/>
        <v>96.98</v>
      </c>
      <c r="I65" s="73">
        <f>IF(H65="","",IF($I$8="A",(RANK(H65,H$11:H$333,1)+COUNTIF(H$11:H65,H65)-1),(RANK(H65,H$11:H$333)+COUNTIF(H$11:H65,H65)-1)))</f>
        <v>24</v>
      </c>
      <c r="J65" s="40"/>
      <c r="K65" s="35">
        <f t="shared" si="10"/>
        <v>55</v>
      </c>
      <c r="L65" t="str">
        <f t="shared" si="2"/>
        <v>Middlesbrough</v>
      </c>
      <c r="M65" s="109">
        <f t="shared" si="3"/>
        <v>92.84</v>
      </c>
      <c r="N65" s="104">
        <f t="shared" si="31"/>
        <v>92.84</v>
      </c>
      <c r="O65" s="89" t="str">
        <f t="shared" si="32"/>
        <v/>
      </c>
      <c r="P65" s="89" t="str">
        <f t="shared" si="33"/>
        <v/>
      </c>
      <c r="Q65" s="89" t="str">
        <f t="shared" si="34"/>
        <v/>
      </c>
      <c r="R65" s="85">
        <f t="shared" si="35"/>
        <v>92.84</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55</v>
      </c>
      <c r="AF65" t="str">
        <f>VLOOKUP(Profile!$J$5,Families!$C:$R,2,FALSE)</f>
        <v>Cheshire West &amp; Chester</v>
      </c>
      <c r="AG65" s="15">
        <f t="shared" si="15"/>
        <v>96.98</v>
      </c>
      <c r="AH65" s="46">
        <f t="shared" si="40"/>
        <v>55</v>
      </c>
      <c r="AI65" s="5" t="str">
        <f>IF(L65="","",VLOOKUP($L65,classifications!$C:$J,8,FALSE))</f>
        <v>Unitary</v>
      </c>
      <c r="AJ65" s="42">
        <f t="shared" si="41"/>
        <v>92.84</v>
      </c>
      <c r="AK65" s="39">
        <f>IF(AJ65="","",IF(I$8="A",(RANK(AJ65,AJ$11:AJ$333,1)+COUNTIF(AJ$11:AJ65,AJ65)-1),(RANK(AJ65,AJ$11:AJ$333)+COUNTIF(AJ$11:AJ65,AJ65)-1)))</f>
        <v>55</v>
      </c>
      <c r="AL65" s="3">
        <f t="shared" si="16"/>
        <v>55</v>
      </c>
      <c r="AM65" t="str">
        <f t="shared" si="6"/>
        <v>Middlesbrough</v>
      </c>
      <c r="AN65">
        <f t="shared" si="7"/>
        <v>92.84</v>
      </c>
      <c r="AP65" s="5" t="str">
        <f>IF(L65="","",VLOOKUP($L65,classifications!$C:$E,3,FALSE))</f>
        <v>NE</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96.98</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96.31</v>
      </c>
      <c r="G66" s="15"/>
      <c r="H66" s="41" t="str">
        <f t="shared" si="1"/>
        <v/>
      </c>
      <c r="I66" s="73" t="str">
        <f>IF(H66="","",IF($I$8="A",(RANK(H66,H$11:H$333,1)+COUNTIF(H$11:H66,H66)-1),(RANK(H66,H$11:H$333)+COUNTIF(H$11:H66,H66)-1)))</f>
        <v/>
      </c>
      <c r="J66" s="40"/>
      <c r="K66" s="35">
        <f t="shared" si="10"/>
        <v>56</v>
      </c>
      <c r="L66" t="str">
        <f t="shared" si="2"/>
        <v>Redcar &amp; Cleveland</v>
      </c>
      <c r="M66" s="109">
        <f t="shared" si="3"/>
        <v>92.73</v>
      </c>
      <c r="N66" s="104">
        <f t="shared" si="31"/>
        <v>92.73</v>
      </c>
      <c r="O66" s="89" t="str">
        <f t="shared" si="32"/>
        <v/>
      </c>
      <c r="P66" s="89" t="str">
        <f t="shared" si="33"/>
        <v/>
      </c>
      <c r="Q66" s="89" t="str">
        <f t="shared" si="34"/>
        <v/>
      </c>
      <c r="R66" s="85">
        <f t="shared" si="35"/>
        <v>92.73</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Urban with Significant Rural</v>
      </c>
      <c r="Y66">
        <f t="shared" si="38"/>
        <v>92.73</v>
      </c>
      <c r="Z66" s="39">
        <f>IF(Y66="","",IF(I$8="A",(RANK(Y66,Y$11:Y$333,1)+COUNTIF(Y$11:Y66,Y66)-1),(RANK(Y66,Y$11:Y$333)+COUNTIF(Y$11:Y66,Y66)-1)))</f>
        <v>24</v>
      </c>
      <c r="AA66" s="177" t="str">
        <f>IF(L66="","",VLOOKUP($L66,classifications!C:I,7,FALSE))</f>
        <v>Urban with Significant Rural</v>
      </c>
      <c r="AB66" s="173">
        <f t="shared" si="39"/>
        <v>92.73</v>
      </c>
      <c r="AC66" s="173">
        <f>IF(AB66="","",IF($I$8="A",(RANK(AB66,AB$11:AB$333)+COUNTIF(AB$11:AB66,AB66)-1),(RANK(AB66,AB$11:AB$333,1)+COUNTIF(AB$11:AB66,AB66)-1)))</f>
        <v>1</v>
      </c>
      <c r="AD66" s="173"/>
      <c r="AE66" s="45">
        <f>IF(I$8="A",(RANK(AG66,AG$11:AG$333,1)+COUNTIF(AG$11:AG66,AG66)-1),(RANK(AG66,AG$11:AG$333)+COUNTIF(AG$11:AG66,AG66)-1))</f>
        <v>56</v>
      </c>
      <c r="AF66" t="str">
        <f>VLOOKUP(Profile!$J$5,Families!$C:$R,2,FALSE)</f>
        <v>Cheshire West &amp; Chester</v>
      </c>
      <c r="AG66" s="15">
        <f t="shared" si="15"/>
        <v>96.98</v>
      </c>
      <c r="AH66" s="46">
        <f t="shared" si="40"/>
        <v>56</v>
      </c>
      <c r="AI66" s="5" t="str">
        <f>IF(L66="","",VLOOKUP($L66,classifications!$C:$J,8,FALSE))</f>
        <v>Unitary</v>
      </c>
      <c r="AJ66" s="42">
        <f t="shared" si="41"/>
        <v>92.73</v>
      </c>
      <c r="AK66" s="39">
        <f>IF(AJ66="","",IF(I$8="A",(RANK(AJ66,AJ$11:AJ$333,1)+COUNTIF(AJ$11:AJ66,AJ66)-1),(RANK(AJ66,AJ$11:AJ$333)+COUNTIF(AJ$11:AJ66,AJ66)-1)))</f>
        <v>56</v>
      </c>
      <c r="AL66" s="3">
        <f t="shared" si="16"/>
        <v>56</v>
      </c>
      <c r="AM66" t="str">
        <f t="shared" si="6"/>
        <v>Redcar &amp; Cleveland</v>
      </c>
      <c r="AN66">
        <f t="shared" si="7"/>
        <v>92.73</v>
      </c>
      <c r="AP66" s="5" t="str">
        <f>IF(L66="","",VLOOKUP($L66,classifications!$C:$E,3,FALSE))</f>
        <v>NE</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96.31</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97.71</v>
      </c>
      <c r="G67" s="15"/>
      <c r="H67" s="41" t="str">
        <f t="shared" si="1"/>
        <v/>
      </c>
      <c r="I67" s="73" t="str">
        <f>IF(H67="","",IF($I$8="A",(RANK(H67,H$11:H$333,1)+COUNTIF(H$11:H67,H67)-1),(RANK(H67,H$11:H$333)+COUNTIF(H$11:H67,H67)-1)))</f>
        <v/>
      </c>
      <c r="J67" s="40"/>
      <c r="K67" s="35">
        <f t="shared" si="10"/>
        <v>57</v>
      </c>
      <c r="L67" t="str">
        <f t="shared" si="2"/>
        <v>Leicester</v>
      </c>
      <c r="M67" s="109">
        <f t="shared" si="3"/>
        <v>92.6</v>
      </c>
      <c r="N67" s="104">
        <f t="shared" si="31"/>
        <v>92.6</v>
      </c>
      <c r="O67" s="89" t="str">
        <f t="shared" si="32"/>
        <v/>
      </c>
      <c r="P67" s="89" t="str">
        <f t="shared" si="33"/>
        <v/>
      </c>
      <c r="Q67" s="89" t="str">
        <f t="shared" si="34"/>
        <v/>
      </c>
      <c r="R67" s="85">
        <f t="shared" si="35"/>
        <v>92.6</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96.98</v>
      </c>
      <c r="AH67" s="46">
        <f t="shared" si="40"/>
        <v>57</v>
      </c>
      <c r="AI67" s="5" t="str">
        <f>IF(L67="","",VLOOKUP($L67,classifications!$C:$J,8,FALSE))</f>
        <v>Unitary</v>
      </c>
      <c r="AJ67" s="42">
        <f t="shared" si="41"/>
        <v>92.6</v>
      </c>
      <c r="AK67" s="39">
        <f>IF(AJ67="","",IF(I$8="A",(RANK(AJ67,AJ$11:AJ$333,1)+COUNTIF(AJ$11:AJ67,AJ67)-1),(RANK(AJ67,AJ$11:AJ$333)+COUNTIF(AJ$11:AJ67,AJ67)-1)))</f>
        <v>57</v>
      </c>
      <c r="AL67" s="3">
        <f t="shared" si="16"/>
        <v>57</v>
      </c>
      <c r="AM67" t="str">
        <f t="shared" si="6"/>
        <v>Leicester</v>
      </c>
      <c r="AN67">
        <f t="shared" si="7"/>
        <v>92.6</v>
      </c>
      <c r="AP67" s="5" t="str">
        <f>IF(L67="","",VLOOKUP($L67,classifications!$C:$E,3,FALSE))</f>
        <v>East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97.71</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96.9</v>
      </c>
      <c r="G68" s="15"/>
      <c r="H68" s="41" t="str">
        <f t="shared" si="1"/>
        <v/>
      </c>
      <c r="I68" s="73" t="str">
        <f>IF(H68="","",IF($I$8="A",(RANK(H68,H$11:H$333,1)+COUNTIF(H$11:H68,H68)-1),(RANK(H68,H$11:H$333)+COUNTIF(H$11:H68,H68)-1)))</f>
        <v/>
      </c>
      <c r="J68" s="40"/>
      <c r="K68" s="35">
        <f t="shared" si="10"/>
        <v>58</v>
      </c>
      <c r="L68" t="str">
        <f t="shared" si="2"/>
        <v>Hartlepool</v>
      </c>
      <c r="M68" s="109">
        <f t="shared" si="3"/>
        <v>92.48</v>
      </c>
      <c r="N68" s="104">
        <f t="shared" si="31"/>
        <v>92.48</v>
      </c>
      <c r="O68" s="89" t="str">
        <f t="shared" si="32"/>
        <v/>
      </c>
      <c r="P68" s="89" t="str">
        <f t="shared" si="33"/>
        <v/>
      </c>
      <c r="Q68" s="89" t="str">
        <f t="shared" si="34"/>
        <v/>
      </c>
      <c r="R68" s="85">
        <f t="shared" si="35"/>
        <v>92.48</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f>IF(I$8="A",(RANK(AG68,AG$11:AG$333,1)+COUNTIF(AG$11:AG68,AG68)-1),(RANK(AG68,AG$11:AG$333)+COUNTIF(AG$11:AG68,AG68)-1))</f>
        <v>58</v>
      </c>
      <c r="AF68" t="str">
        <f>VLOOKUP(Profile!$J$5,Families!$C:$R,2,FALSE)</f>
        <v>Cheshire West &amp; Chester</v>
      </c>
      <c r="AG68" s="15">
        <f t="shared" si="15"/>
        <v>96.98</v>
      </c>
      <c r="AH68" s="46">
        <f t="shared" si="40"/>
        <v>58</v>
      </c>
      <c r="AI68" s="5" t="str">
        <f>IF(L68="","",VLOOKUP($L68,classifications!$C:$J,8,FALSE))</f>
        <v>Unitary</v>
      </c>
      <c r="AJ68" s="42">
        <f t="shared" si="41"/>
        <v>92.48</v>
      </c>
      <c r="AK68" s="39">
        <f>IF(AJ68="","",IF(I$8="A",(RANK(AJ68,AJ$11:AJ$333,1)+COUNTIF(AJ$11:AJ68,AJ68)-1),(RANK(AJ68,AJ$11:AJ$333)+COUNTIF(AJ$11:AJ68,AJ68)-1)))</f>
        <v>58</v>
      </c>
      <c r="AL68" s="3">
        <f t="shared" si="16"/>
        <v>58</v>
      </c>
      <c r="AM68" t="str">
        <f t="shared" si="6"/>
        <v>Hartlepool</v>
      </c>
      <c r="AN68">
        <f t="shared" si="7"/>
        <v>92.48</v>
      </c>
      <c r="AP68" s="5" t="str">
        <f>IF(L68="","",VLOOKUP($L68,classifications!$C:$E,3,FALSE))</f>
        <v>NE</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96.9</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97.58</v>
      </c>
      <c r="G69" s="15"/>
      <c r="H69" s="41" t="str">
        <f t="shared" si="1"/>
        <v/>
      </c>
      <c r="I69" s="73" t="str">
        <f>IF(H69="","",IF($I$8="A",(RANK(H69,H$11:H$333,1)+COUNTIF(H$11:H69,H69)-1),(RANK(H69,H$11:H$333)+COUNTIF(H$11:H69,H69)-1)))</f>
        <v/>
      </c>
      <c r="J69" s="40"/>
      <c r="K69" s="35">
        <f t="shared" si="10"/>
        <v>59</v>
      </c>
      <c r="L69" t="str">
        <f t="shared" si="2"/>
        <v>Kingston upon Hull</v>
      </c>
      <c r="M69" s="109">
        <f t="shared" si="3"/>
        <v>92.43</v>
      </c>
      <c r="N69" s="104">
        <f t="shared" si="31"/>
        <v>92.43</v>
      </c>
      <c r="O69" s="89" t="str">
        <f t="shared" si="32"/>
        <v/>
      </c>
      <c r="P69" s="89" t="str">
        <f t="shared" si="33"/>
        <v/>
      </c>
      <c r="Q69" s="89" t="str">
        <f t="shared" si="34"/>
        <v/>
      </c>
      <c r="R69" s="85">
        <f t="shared" si="35"/>
        <v>92.43</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f>IF(I$8="A",(RANK(AG69,AG$11:AG$333,1)+COUNTIF(AG$11:AG69,AG69)-1),(RANK(AG69,AG$11:AG$333)+COUNTIF(AG$11:AG69,AG69)-1))</f>
        <v>59</v>
      </c>
      <c r="AF69" t="str">
        <f>VLOOKUP(Profile!$J$5,Families!$C:$R,2,FALSE)</f>
        <v>Cheshire West &amp; Chester</v>
      </c>
      <c r="AG69" s="15">
        <f t="shared" si="15"/>
        <v>96.98</v>
      </c>
      <c r="AH69" s="46">
        <f t="shared" si="40"/>
        <v>59</v>
      </c>
      <c r="AI69" s="5" t="str">
        <f>IF(L69="","",VLOOKUP($L69,classifications!$C:$J,8,FALSE))</f>
        <v>Unitary</v>
      </c>
      <c r="AJ69" s="42">
        <f t="shared" si="41"/>
        <v>92.43</v>
      </c>
      <c r="AK69" s="39">
        <f>IF(AJ69="","",IF(I$8="A",(RANK(AJ69,AJ$11:AJ$333,1)+COUNTIF(AJ$11:AJ69,AJ69)-1),(RANK(AJ69,AJ$11:AJ$333)+COUNTIF(AJ$11:AJ69,AJ69)-1)))</f>
        <v>59</v>
      </c>
      <c r="AL69" s="3">
        <f t="shared" si="16"/>
        <v>59</v>
      </c>
      <c r="AM69" t="str">
        <f t="shared" si="6"/>
        <v>Kingston upon Hull</v>
      </c>
      <c r="AN69">
        <f t="shared" si="7"/>
        <v>92.43</v>
      </c>
      <c r="AP69" s="5" t="str">
        <f>IF(L69="","",VLOOKUP($L69,classifications!$C:$E,3,FALSE))</f>
        <v>Yorkshire &amp; Humberside</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97.58</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97.63</v>
      </c>
      <c r="G70" s="15"/>
      <c r="H70" s="41" t="str">
        <f t="shared" si="1"/>
        <v/>
      </c>
      <c r="I70" s="73" t="str">
        <f>IF(H70="","",IF($I$8="A",(RANK(H70,H$11:H$333,1)+COUNTIF(H$11:H70,H70)-1),(RANK(H70,H$11:H$333)+COUNTIF(H$11:H70,H70)-1)))</f>
        <v/>
      </c>
      <c r="J70" s="40"/>
      <c r="K70" s="35">
        <f t="shared" si="10"/>
        <v>60</v>
      </c>
      <c r="L70" t="str">
        <f t="shared" si="2"/>
        <v>Nottingham</v>
      </c>
      <c r="M70" s="109">
        <f t="shared" si="3"/>
        <v>92.08</v>
      </c>
      <c r="N70" s="104">
        <f t="shared" si="31"/>
        <v>92.08</v>
      </c>
      <c r="O70" s="89" t="str">
        <f t="shared" si="32"/>
        <v/>
      </c>
      <c r="P70" s="89" t="str">
        <f t="shared" si="33"/>
        <v/>
      </c>
      <c r="Q70" s="89" t="str">
        <f t="shared" si="34"/>
        <v/>
      </c>
      <c r="R70" s="85">
        <f t="shared" si="35"/>
        <v>92.08</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60</v>
      </c>
      <c r="AF70" t="str">
        <f>VLOOKUP(Profile!$J$5,Families!$C:$R,2,FALSE)</f>
        <v>Cheshire West &amp; Chester</v>
      </c>
      <c r="AG70" s="15">
        <f t="shared" si="15"/>
        <v>96.98</v>
      </c>
      <c r="AH70" s="46">
        <f t="shared" si="40"/>
        <v>60</v>
      </c>
      <c r="AI70" s="5" t="str">
        <f>IF(L70="","",VLOOKUP($L70,classifications!$C:$J,8,FALSE))</f>
        <v>Unitary</v>
      </c>
      <c r="AJ70" s="42">
        <f t="shared" si="41"/>
        <v>92.08</v>
      </c>
      <c r="AK70" s="39">
        <f>IF(AJ70="","",IF(I$8="A",(RANK(AJ70,AJ$11:AJ$333,1)+COUNTIF(AJ$11:AJ70,AJ70)-1),(RANK(AJ70,AJ$11:AJ$333)+COUNTIF(AJ$11:AJ70,AJ70)-1)))</f>
        <v>60</v>
      </c>
      <c r="AL70" s="3">
        <f t="shared" si="16"/>
        <v>60</v>
      </c>
      <c r="AM70" t="str">
        <f t="shared" si="6"/>
        <v>Nottingham</v>
      </c>
      <c r="AN70">
        <f t="shared" si="7"/>
        <v>92.08</v>
      </c>
      <c r="AP70" s="5" t="str">
        <f>IF(L70="","",VLOOKUP($L70,classifications!$C:$E,3,FALSE))</f>
        <v>East Midlands</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97.63</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97</v>
      </c>
      <c r="G71" s="15"/>
      <c r="H71" s="41">
        <f t="shared" si="1"/>
        <v>97</v>
      </c>
      <c r="I71" s="73">
        <f>IF(H71="","",IF($I$8="A",(RANK(H71,H$11:H$333,1)+COUNTIF(H$11:H71,H71)-1),(RANK(H71,H$11:H$333)+COUNTIF(H$11:H71,H71)-1)))</f>
        <v>23</v>
      </c>
      <c r="J71" s="40"/>
      <c r="K71" s="35">
        <f t="shared" si="10"/>
        <v>61</v>
      </c>
      <c r="L71" t="str">
        <f t="shared" si="2"/>
        <v>Portsmouth</v>
      </c>
      <c r="M71" s="109">
        <f t="shared" si="3"/>
        <v>91.77</v>
      </c>
      <c r="N71" s="104">
        <f t="shared" si="31"/>
        <v>91.77</v>
      </c>
      <c r="O71" s="89" t="str">
        <f t="shared" si="32"/>
        <v/>
      </c>
      <c r="P71" s="89" t="str">
        <f t="shared" si="33"/>
        <v/>
      </c>
      <c r="Q71" s="89" t="str">
        <f t="shared" si="34"/>
        <v/>
      </c>
      <c r="R71" s="85">
        <f t="shared" si="35"/>
        <v>91.77</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f>IF(I$8="A",(RANK(AG71,AG$11:AG$333,1)+COUNTIF(AG$11:AG71,AG71)-1),(RANK(AG71,AG$11:AG$333)+COUNTIF(AG$11:AG71,AG71)-1))</f>
        <v>61</v>
      </c>
      <c r="AF71" t="str">
        <f>VLOOKUP(Profile!$J$5,Families!$C:$R,2,FALSE)</f>
        <v>Cheshire West &amp; Chester</v>
      </c>
      <c r="AG71" s="15">
        <f t="shared" si="15"/>
        <v>96.98</v>
      </c>
      <c r="AH71" s="46">
        <f t="shared" si="40"/>
        <v>61</v>
      </c>
      <c r="AI71" s="5" t="str">
        <f>IF(L71="","",VLOOKUP($L71,classifications!$C:$J,8,FALSE))</f>
        <v>Unitary</v>
      </c>
      <c r="AJ71" s="42">
        <f t="shared" si="41"/>
        <v>91.77</v>
      </c>
      <c r="AK71" s="39">
        <f>IF(AJ71="","",IF(I$8="A",(RANK(AJ71,AJ$11:AJ$333,1)+COUNTIF(AJ$11:AJ71,AJ71)-1),(RANK(AJ71,AJ$11:AJ$333)+COUNTIF(AJ$11:AJ71,AJ71)-1)))</f>
        <v>61</v>
      </c>
      <c r="AL71" s="3">
        <f t="shared" si="16"/>
        <v>61</v>
      </c>
      <c r="AM71" t="str">
        <f t="shared" si="6"/>
        <v>Portsmouth</v>
      </c>
      <c r="AN71">
        <f t="shared" si="7"/>
        <v>91.77</v>
      </c>
      <c r="AP71" s="5" t="str">
        <f>IF(L71="","",VLOOKUP($L71,classifications!$C:$E,3,FALSE))</f>
        <v>South East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97</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98.32</v>
      </c>
      <c r="G72" s="15"/>
      <c r="H72" s="41" t="str">
        <f t="shared" si="1"/>
        <v/>
      </c>
      <c r="I72" s="73" t="str">
        <f>IF(H72="","",IF($I$8="A",(RANK(H72,H$11:H$333,1)+COUNTIF(H$11:H72,H72)-1),(RANK(H72,H$11:H$333)+COUNTIF(H$11:H72,H72)-1)))</f>
        <v/>
      </c>
      <c r="J72" s="40"/>
      <c r="K72" s="35">
        <f t="shared" si="10"/>
        <v>62</v>
      </c>
      <c r="L72" t="str">
        <f t="shared" si="2"/>
        <v>Blackpool</v>
      </c>
      <c r="M72" s="109">
        <f t="shared" si="3"/>
        <v>88.97</v>
      </c>
      <c r="N72" s="104">
        <f t="shared" si="31"/>
        <v>88.97</v>
      </c>
      <c r="O72" s="89" t="str">
        <f t="shared" si="32"/>
        <v/>
      </c>
      <c r="P72" s="89" t="str">
        <f t="shared" si="33"/>
        <v/>
      </c>
      <c r="Q72" s="89" t="str">
        <f t="shared" si="34"/>
        <v/>
      </c>
      <c r="R72" s="85">
        <f t="shared" si="35"/>
        <v>88.97</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Predominantly Urban</v>
      </c>
      <c r="Y72" t="str">
        <f t="shared" si="38"/>
        <v/>
      </c>
      <c r="Z72" s="39" t="str">
        <f>IF(Y72="","",IF(I$8="A",(RANK(Y72,Y$11:Y$333,1)+COUNTIF(Y$11:Y72,Y72)-1),(RANK(Y72,Y$11:Y$333)+COUNTIF(Y$11:Y72,Y72)-1)))</f>
        <v/>
      </c>
      <c r="AA72" s="177" t="str">
        <f>IF(L72="","",VLOOKUP($L72,classifications!C:I,7,FALSE))</f>
        <v>Predominantly Urban</v>
      </c>
      <c r="AB72" s="173" t="str">
        <f t="shared" si="39"/>
        <v/>
      </c>
      <c r="AC72" s="173" t="str">
        <f>IF(AB72="","",IF($I$8="A",(RANK(AB72,AB$11:AB$333)+COUNTIF(AB$11:AB72,AB72)-1),(RANK(AB72,AB$11:AB$333,1)+COUNTIF(AB$11:AB72,AB72)-1)))</f>
        <v/>
      </c>
      <c r="AD72" s="173"/>
      <c r="AE72" s="45">
        <f>IF(I$8="A",(RANK(AG72,AG$11:AG$333,1)+COUNTIF(AG$11:AG72,AG72)-1),(RANK(AG72,AG$11:AG$333)+COUNTIF(AG$11:AG72,AG72)-1))</f>
        <v>62</v>
      </c>
      <c r="AF72" t="str">
        <f>VLOOKUP(Profile!$J$5,Families!$C:$R,2,FALSE)</f>
        <v>Cheshire West &amp; Chester</v>
      </c>
      <c r="AG72" s="15">
        <f t="shared" si="15"/>
        <v>96.98</v>
      </c>
      <c r="AH72" s="46">
        <f t="shared" si="40"/>
        <v>62</v>
      </c>
      <c r="AI72" s="5" t="str">
        <f>IF(L72="","",VLOOKUP($L72,classifications!$C:$J,8,FALSE))</f>
        <v>Unitary</v>
      </c>
      <c r="AJ72" s="42">
        <f t="shared" si="41"/>
        <v>88.97</v>
      </c>
      <c r="AK72" s="39">
        <f>IF(AJ72="","",IF(I$8="A",(RANK(AJ72,AJ$11:AJ$333,1)+COUNTIF(AJ$11:AJ72,AJ72)-1),(RANK(AJ72,AJ$11:AJ$333)+COUNTIF(AJ$11:AJ72,AJ72)-1)))</f>
        <v>62</v>
      </c>
      <c r="AL72" s="3">
        <f t="shared" si="16"/>
        <v>62</v>
      </c>
      <c r="AM72" t="str">
        <f t="shared" si="6"/>
        <v>Blackpool</v>
      </c>
      <c r="AN72">
        <f t="shared" si="7"/>
        <v>88.97</v>
      </c>
      <c r="AP72" s="5" t="str">
        <f>IF(L72="","",VLOOKUP($L72,classifications!$C:$E,3,FALSE))</f>
        <v>North West</v>
      </c>
      <c r="AQ72" s="42">
        <f t="shared" si="42"/>
        <v>88.97</v>
      </c>
      <c r="AR72" s="39">
        <f>IF(AQ72="","",IF(I$8="A",(RANK(AQ72,AQ$11:AQ$333,1)+COUNTIF(AQ$11:AQ72,AQ72)-1),(RANK(AQ72,AQ$11:AQ$333)+COUNTIF(AQ$11:AQ72,AQ72)-1)))</f>
        <v>8</v>
      </c>
      <c r="AS72" s="3" t="str">
        <f t="shared" si="18"/>
        <v/>
      </c>
      <c r="AT72" s="39" t="str">
        <f t="shared" si="8"/>
        <v/>
      </c>
      <c r="AU72" s="42" t="str">
        <f t="shared" si="9"/>
        <v/>
      </c>
      <c r="AX72">
        <f>HLOOKUP($AX$9&amp;$AX$10,Data!$A$1:$ZT$1975,(MATCH($C72,Data!$A$1:$A$1975,0)),FALSE)</f>
        <v>98.32</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93.65</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96.98</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93.65</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97.06</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96.98</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97.06</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94.6</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96.98</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94.6</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97.14</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96.98</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97.14</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96.39</v>
      </c>
      <c r="G77" s="15"/>
      <c r="H77" s="41">
        <f t="shared" si="44"/>
        <v>96.39</v>
      </c>
      <c r="I77" s="73">
        <f>IF(H77="","",IF($I$8="A",(RANK(H77,H$11:H$333,1)+COUNTIF(H$11:H77,H77)-1),(RANK(H77,H$11:H$333)+COUNTIF(H$11:H77,H77)-1)))</f>
        <v>29</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96.98</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96.39</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96.23</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96.98</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96.23</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93.24</v>
      </c>
      <c r="G79" s="15"/>
      <c r="H79" s="41">
        <f t="shared" si="44"/>
        <v>93.24</v>
      </c>
      <c r="I79" s="73">
        <f>IF(H79="","",IF($I$8="A",(RANK(H79,H$11:H$333,1)+COUNTIF(H$11:H79,H79)-1),(RANK(H79,H$11:H$333)+COUNTIF(H$11:H79,H79)-1)))</f>
        <v>52</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96.98</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93.24</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96.98</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97.82</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96.98</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97.82</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96.98</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94.01</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96.98</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94.01</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96.23</v>
      </c>
      <c r="G84" s="15"/>
      <c r="H84" s="41">
        <f t="shared" si="44"/>
        <v>96.23</v>
      </c>
      <c r="I84" s="73">
        <f>IF(H84="","",IF($I$8="A",(RANK(H84,H$11:H$333,1)+COUNTIF(H$11:H84,H84)-1),(RANK(H84,H$11:H$333)+COUNTIF(H$11:H84,H84)-1)))</f>
        <v>34</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96.98</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96.23</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96.48</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96.98</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96.48</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96.46</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96.98</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96.46</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95.37</v>
      </c>
      <c r="G87" s="15"/>
      <c r="H87" s="41">
        <f t="shared" si="44"/>
        <v>95.37</v>
      </c>
      <c r="I87" s="73">
        <f>IF(H87="","",IF($I$8="A",(RANK(H87,H$11:H$333,1)+COUNTIF(H$11:H87,H87)-1),(RANK(H87,H$11:H$333)+COUNTIF(H$11:H87,H87)-1)))</f>
        <v>41</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96.98</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95.37</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96.31</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96.98</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96.31</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97.8</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96.98</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97.8</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98.64</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96.98</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98.64</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98.35</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96.98</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98.35</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96.92</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96.98</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96.92</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95.37</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96.98</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95.37</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97.03</v>
      </c>
      <c r="G94" s="15"/>
      <c r="H94" s="41">
        <f t="shared" si="44"/>
        <v>97.03</v>
      </c>
      <c r="I94" s="73">
        <f>IF(H94="","",IF($I$8="A",(RANK(H94,H$11:H$333,1)+COUNTIF(H$11:H94,H94)-1),(RANK(H94,H$11:H$333)+COUNTIF(H$11:H94,H94)-1)))</f>
        <v>22</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96.98</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97.03</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97.55</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96.98</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97.55</v>
      </c>
    </row>
    <row r="96" spans="1:50">
      <c r="A96" s="55" t="str">
        <f>$D$1&amp;86</f>
        <v>UA86</v>
      </c>
      <c r="B96" s="56">
        <f>IF(ISERROR(VLOOKUP(A96,classifications!A:C,3,FALSE)),0,VLOOKUP(A96,classifications!A:C,3,FALSE))</f>
        <v>0</v>
      </c>
      <c r="C96" t="s">
        <v>894</v>
      </c>
      <c r="D96" t="str">
        <f>VLOOKUP($C96,classifications!$C:$J,4,FALSE)</f>
        <v>SD</v>
      </c>
      <c r="E96" t="str">
        <f>VLOOKUP(C96,classifications!C:K,9,FALSE)</f>
        <v>Sparse</v>
      </c>
      <c r="F96">
        <f t="shared" si="43"/>
        <v>97.55</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96.98</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97.55</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96.98</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95.19</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96.98</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95.19</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97.01</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96.98</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97.01</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98.4</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96.98</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98.4</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93.56</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96.98</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93.56</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96.94</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96.98</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96.94</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98.96</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96.98</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98.96</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95.84</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96.98</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95.84</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96.98</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96.5</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96.98</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96.5</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98.08</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96.98</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98.08</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96.28</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96.98</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96.28</v>
      </c>
    </row>
    <row r="109" spans="1:50">
      <c r="A109" s="55" t="str">
        <f>$D$1&amp;99</f>
        <v>UA99</v>
      </c>
      <c r="B109" s="56">
        <f>IF(ISERROR(VLOOKUP(A109,classifications!A:C,3,FALSE)),0,VLOOKUP(A109,classifications!A:C,3,FALSE))</f>
        <v>0</v>
      </c>
      <c r="C109" t="s">
        <v>890</v>
      </c>
      <c r="D109" t="str">
        <f>VLOOKUP($C109,classifications!$C:$J,4,FALSE)</f>
        <v>SD</v>
      </c>
      <c r="E109">
        <f>VLOOKUP(C109,classifications!C:K,9,FALSE)</f>
        <v>0</v>
      </c>
      <c r="F109">
        <f t="shared" si="43"/>
        <v>96.8</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96.98</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96.8</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97.58</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96.98</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97.58</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96.61</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96.98</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96.61</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93.84</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96.98</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93.84</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97.63</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96.98</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97.63</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95.93</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96.98</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95.93</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96.98</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93.63</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96.98</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93.63</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95.15</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96.98</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95.15</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95.66</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96.98</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95.66</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94</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96.98</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94</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97.81</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96.98</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97.81</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88.81</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96.98</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88.81</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93.78</v>
      </c>
      <c r="G122" s="15"/>
      <c r="H122" s="41">
        <f t="shared" si="44"/>
        <v>93.78</v>
      </c>
      <c r="I122" s="73">
        <f>IF(H122="","",IF($I$8="A",(RANK(H122,H$11:H$333,1)+COUNTIF(H$11:H122,H122)-1),(RANK(H122,H$11:H$333)+COUNTIF(H$11:H122,H122)-1)))</f>
        <v>51</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96.98</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93.78</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93.66</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96.98</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93.66</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96.98</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98.01</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96.98</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98.01</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95.17</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96.98</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95.17</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94.55</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96.98</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94.55</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96.69</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96.98</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96.69</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98.48</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96.98</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98.48</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92.48</v>
      </c>
      <c r="G130" s="15"/>
      <c r="H130" s="41">
        <f t="shared" si="44"/>
        <v>92.48</v>
      </c>
      <c r="I130" s="73">
        <f>IF(H130="","",IF($I$8="A",(RANK(H130,H$11:H$333,1)+COUNTIF(H$11:H130,H130)-1),(RANK(H130,H$11:H$333)+COUNTIF(H$11:H130,H130)-1)))</f>
        <v>58</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96.98</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92.48</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94.41</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96.98</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94.41</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96.28</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96.98</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96.28</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96.28</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96.98</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96.28</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97.41</v>
      </c>
      <c r="G134" s="15"/>
      <c r="H134" s="41">
        <f t="shared" si="44"/>
        <v>97.41</v>
      </c>
      <c r="I134" s="73">
        <f>IF(H134="","",IF($I$8="A",(RANK(H134,H$11:H$333,1)+COUNTIF(H$11:H134,H134)-1),(RANK(H134,H$11:H$333)+COUNTIF(H$11:H134,H134)-1)))</f>
        <v>13</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96.98</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97.41</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96.98</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96.09</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96.98</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96.09</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98.28</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96.98</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98.28</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96.3</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96.98</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96.3</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97.52</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96.98</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97.52</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98.36</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96.98</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98.36</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97.27</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96.98</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97.27</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97.8</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96.98</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97.8</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94.37</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96.98</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94.37</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95.44</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96.98</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95.44</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95.71</v>
      </c>
      <c r="G145" s="15"/>
      <c r="H145" s="41">
        <f t="shared" si="68"/>
        <v>95.71</v>
      </c>
      <c r="I145" s="73">
        <f>IF(H145="","",IF($I$8="A",(RANK(H145,H$11:H$333,1)+COUNTIF(H$11:H145,H145)-1),(RANK(H145,H$11:H$333)+COUNTIF(H$11:H145,H145)-1)))</f>
        <v>38</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96.98</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95.71</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97.15</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96.98</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97.15</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94.32</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96.98</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94.32</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97.35</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96.98</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97.35</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96.98</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97.16</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96.98</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97.16</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92.43</v>
      </c>
      <c r="G151" s="15"/>
      <c r="H151" s="41">
        <f t="shared" si="68"/>
        <v>92.43</v>
      </c>
      <c r="I151" s="73">
        <f>IF(H151="","",IF($I$8="A",(RANK(H151,H$11:H$333,1)+COUNTIF(H$11:H151,H151)-1),(RANK(H151,H$11:H$333)+COUNTIF(H$11:H151,H151)-1)))</f>
        <v>59</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96.98</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92.43</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98.57</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96.98</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98.57</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95.22</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96.98</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95.22</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86.99</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96.98</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86.99</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93.73</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96.98</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93.73</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96.98</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94.41</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96.98</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94.41</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94.01</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96.98</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94.01</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92.6</v>
      </c>
      <c r="G159" s="15"/>
      <c r="H159" s="41">
        <f t="shared" si="68"/>
        <v>92.6</v>
      </c>
      <c r="I159" s="73">
        <f>IF(H159="","",IF($I$8="A",(RANK(H159,H$11:H$333,1)+COUNTIF(H$11:H159,H159)-1),(RANK(H159,H$11:H$333)+COUNTIF(H$11:H159,H159)-1)))</f>
        <v>57</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96.98</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92.6</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96.98</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96.76</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96.98</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96.76</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92.18</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96.98</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92.18</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98.41</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96.98</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98.41</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94.04</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96.98</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94.04</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96.98</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85.55</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96.98</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85.55</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94.75</v>
      </c>
      <c r="G167" s="15"/>
      <c r="H167" s="41">
        <f t="shared" si="68"/>
        <v>94.75</v>
      </c>
      <c r="I167" s="73">
        <f>IF(H167="","",IF($I$8="A",(RANK(H167,H$11:H$333,1)+COUNTIF(H$11:H167,H167)-1),(RANK(H167,H$11:H$333)+COUNTIF(H$11:H167,H167)-1)))</f>
        <v>45</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96.98</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94.75</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96.66</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96.98</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96.66</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98.01</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96.98</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98.01</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96.67</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96.98</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96.67</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87.78</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96.98</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87.78</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96.31</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96.98</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96.31</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94.39</v>
      </c>
      <c r="G173" s="15"/>
      <c r="H173" s="41">
        <f t="shared" si="68"/>
        <v>94.39</v>
      </c>
      <c r="I173" s="73">
        <f>IF(H173="","",IF($I$8="A",(RANK(H173,H$11:H$333,1)+COUNTIF(H$11:H173,H173)-1),(RANK(H173,H$11:H$333)+COUNTIF(H$11:H173,H173)-1)))</f>
        <v>48</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96.98</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94.39</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98.56</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96.98</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98.56</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96.51</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96.98</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96.51</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97.51</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96.98</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97.51</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98.34</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96.98</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98.34</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97.92</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96.98</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97.92</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92.84</v>
      </c>
      <c r="G179" s="15"/>
      <c r="H179" s="41">
        <f t="shared" si="68"/>
        <v>92.84</v>
      </c>
      <c r="I179" s="73">
        <f>IF(H179="","",IF($I$8="A",(RANK(H179,H$11:H$333,1)+COUNTIF(H$11:H179,H179)-1),(RANK(H179,H$11:H$333)+COUNTIF(H$11:H179,H179)-1)))</f>
        <v>55</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96.98</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92.84</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97.1</v>
      </c>
      <c r="G180" s="15"/>
      <c r="H180" s="41">
        <f t="shared" si="68"/>
        <v>97.1</v>
      </c>
      <c r="I180" s="73">
        <f>IF(H180="","",IF($I$8="A",(RANK(H180,H$11:H$333,1)+COUNTIF(H$11:H180,H180)-1),(RANK(H180,H$11:H$333)+COUNTIF(H$11:H180,H180)-1)))</f>
        <v>20</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96.98</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97.1</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98.29</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96.98</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98.29</v>
      </c>
    </row>
    <row r="182" spans="1:50">
      <c r="A182" s="55" t="str">
        <f>$D$1&amp;172</f>
        <v>UA172</v>
      </c>
      <c r="B182" s="56">
        <f>IF(ISERROR(VLOOKUP(A182,classifications!A:C,3,FALSE)),0,VLOOKUP(A182,classifications!A:C,3,FALSE))</f>
        <v>0</v>
      </c>
      <c r="C182" t="s">
        <v>106</v>
      </c>
      <c r="D182" t="str">
        <f>VLOOKUP($C182,classifications!$C:$J,4,FALSE)</f>
        <v>SD</v>
      </c>
      <c r="E182">
        <f>VLOOKUP(C182,classifications!C:K,9,FALSE)</f>
        <v>0</v>
      </c>
      <c r="F182">
        <f t="shared" si="67"/>
        <v>98.65</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96.98</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98.65</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97.21</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96.98</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97.21</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97.09</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96.98</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97.09</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97.83</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96.98</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97.83</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89.4</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96.98</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89.4</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96.98</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96.98</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96.98</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96.98</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96.64</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96.98</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96.64</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92.88</v>
      </c>
      <c r="G190" s="15"/>
      <c r="H190" s="41">
        <f t="shared" si="68"/>
        <v>92.88</v>
      </c>
      <c r="I190" s="73">
        <f>IF(H190="","",IF($I$8="A",(RANK(H190,H$11:H$333,1)+COUNTIF(H$11:H190,H190)-1),(RANK(H190,H$11:H$333)+COUNTIF(H$11:H190,H190)-1)))</f>
        <v>54</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96.98</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92.88</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97.9</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96.98</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97.9</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98.48</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96.98</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98.48</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94.31</v>
      </c>
      <c r="G193" s="15"/>
      <c r="H193" s="41">
        <f t="shared" si="68"/>
        <v>94.31</v>
      </c>
      <c r="I193" s="73">
        <f>IF(H193="","",IF($I$8="A",(RANK(H193,H$11:H$333,1)+COUNTIF(H$11:H193,H193)-1),(RANK(H193,H$11:H$333)+COUNTIF(H$11:H193,H193)-1)))</f>
        <v>49</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96.98</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94.31</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98.37</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96.98</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98.37</v>
      </c>
    </row>
    <row r="195" spans="1:50">
      <c r="A195" s="55" t="str">
        <f>$D$1&amp;185</f>
        <v>UA185</v>
      </c>
      <c r="B195" s="56">
        <f>IF(ISERROR(VLOOKUP(A195,classifications!A:C,3,FALSE)),0,VLOOKUP(A195,classifications!A:C,3,FALSE))</f>
        <v>0</v>
      </c>
      <c r="C195" t="s">
        <v>897</v>
      </c>
      <c r="D195" t="str">
        <f>VLOOKUP($C195,classifications!$C:$J,4,FALSE)</f>
        <v>UA</v>
      </c>
      <c r="E195">
        <f>VLOOKUP(C195,classifications!C:K,9,FALSE)</f>
        <v>0</v>
      </c>
      <c r="F195">
        <f t="shared" si="67"/>
        <v>96.04</v>
      </c>
      <c r="G195" s="15"/>
      <c r="H195" s="41">
        <f t="shared" si="68"/>
        <v>96.04</v>
      </c>
      <c r="I195" s="73">
        <f>IF(H195="","",IF($I$8="A",(RANK(H195,H$11:H$333,1)+COUNTIF(H$11:H195,H195)-1),(RANK(H195,H$11:H$333)+COUNTIF(H$11:H195,H195)-1)))</f>
        <v>36</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96.98</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96.04</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97.98</v>
      </c>
      <c r="G196" s="15"/>
      <c r="H196" s="41">
        <f t="shared" si="68"/>
        <v>97.98</v>
      </c>
      <c r="I196" s="73">
        <f>IF(H196="","",IF($I$8="A",(RANK(H196,H$11:H$333,1)+COUNTIF(H$11:H196,H196)-1),(RANK(H196,H$11:H$333)+COUNTIF(H$11:H196,H196)-1)))</f>
        <v>4</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96.98</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97.98</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94.84</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96.98</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94.84</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96.26</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96.98</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96.26</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97.17</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96.98</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97.17</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97.87</v>
      </c>
      <c r="G200" s="15"/>
      <c r="H200" s="41">
        <f t="shared" si="68"/>
        <v>97.87</v>
      </c>
      <c r="I200" s="73">
        <f>IF(H200="","",IF($I$8="A",(RANK(H200,H$11:H$333,1)+COUNTIF(H$11:H200,H200)-1),(RANK(H200,H$11:H$333)+COUNTIF(H$11:H200,H200)-1)))</f>
        <v>7</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96.98</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97.87</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96.69</v>
      </c>
      <c r="G201" s="15"/>
      <c r="H201" s="41">
        <f t="shared" si="68"/>
        <v>96.69</v>
      </c>
      <c r="I201" s="73">
        <f>IF(H201="","",IF($I$8="A",(RANK(H201,H$11:H$333,1)+COUNTIF(H$11:H201,H201)-1),(RANK(H201,H$11:H$333)+COUNTIF(H$11:H201,H201)-1)))</f>
        <v>25</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96.98</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96.69</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93.44</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96.98</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93.44</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92.08</v>
      </c>
      <c r="G203" s="15"/>
      <c r="H203" s="41">
        <f t="shared" ref="H203:H266" si="92">IF(D203=$D$1,HLOOKUP($D$6,$AX$10:$ZZ$337,ROW()-9,FALSE),"")</f>
        <v>92.08</v>
      </c>
      <c r="I203" s="73">
        <f>IF(H203="","",IF($I$8="A",(RANK(H203,H$11:H$333,1)+COUNTIF(H$11:H203,H203)-1),(RANK(H203,H$11:H$333)+COUNTIF(H$11:H203,H203)-1)))</f>
        <v>60</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96.98</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92.08</v>
      </c>
    </row>
    <row r="204" spans="1:50">
      <c r="A204" s="55" t="str">
        <f>$D$1&amp;194</f>
        <v>UA194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96.98</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96.61</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96.98</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96.61</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96.39</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96.98</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96.39</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94.11</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96.98</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94.11</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96.33</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96.98</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96.33</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96.98</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95.64</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96.98</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95.64</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95.7</v>
      </c>
      <c r="G211" s="15"/>
      <c r="H211" s="41">
        <f t="shared" si="92"/>
        <v>95.7</v>
      </c>
      <c r="I211" s="73">
        <f>IF(H211="","",IF($I$8="A",(RANK(H211,H$11:H$333,1)+COUNTIF(H$11:H211,H211)-1),(RANK(H211,H$11:H$333)+COUNTIF(H$11:H211,H211)-1)))</f>
        <v>39</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96.98</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95.7</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96.5</v>
      </c>
      <c r="G212" s="15"/>
      <c r="H212" s="41">
        <f t="shared" si="92"/>
        <v>96.5</v>
      </c>
      <c r="I212" s="73">
        <f>IF(H212="","",IF($I$8="A",(RANK(H212,H$11:H$333,1)+COUNTIF(H$11:H212,H212)-1),(RANK(H212,H$11:H$333)+COUNTIF(H$11:H212,H212)-1)))</f>
        <v>27</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96.98</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96.5</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91.77</v>
      </c>
      <c r="G213" s="15"/>
      <c r="H213" s="41">
        <f t="shared" si="92"/>
        <v>91.77</v>
      </c>
      <c r="I213" s="73">
        <f>IF(H213="","",IF($I$8="A",(RANK(H213,H$11:H$333,1)+COUNTIF(H$11:H213,H213)-1),(RANK(H213,H$11:H$333)+COUNTIF(H$11:H213,H213)-1)))</f>
        <v>61</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96.98</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91.77</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90.17</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96.98</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90.17</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95.67</v>
      </c>
      <c r="G215" s="15"/>
      <c r="H215" s="41">
        <f t="shared" si="92"/>
        <v>95.67</v>
      </c>
      <c r="I215" s="73">
        <f>IF(H215="","",IF($I$8="A",(RANK(H215,H$11:H$333,1)+COUNTIF(H$11:H215,H215)-1),(RANK(H215,H$11:H$333)+COUNTIF(H$11:H215,H215)-1)))</f>
        <v>40</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96.98</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95.67</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96.77</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96.98</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96.77</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92.73</v>
      </c>
      <c r="G217" s="15"/>
      <c r="H217" s="41">
        <f t="shared" si="92"/>
        <v>92.73</v>
      </c>
      <c r="I217" s="73">
        <f>IF(H217="","",IF($I$8="A",(RANK(H217,H$11:H$333,1)+COUNTIF(H$11:H217,H217)-1),(RANK(H217,H$11:H$333)+COUNTIF(H$11:H217,H217)-1)))</f>
        <v>56</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96.98</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92.73</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96.05</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96.98</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96.05</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98.57</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96.98</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98.57</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99.12</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96.98</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99.12</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98.49</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96.98</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98.49</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93.43</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96.98</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93.43</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98.67</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96.98</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98.67</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95.75</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96.98</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95.75</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97.55</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96.98</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97.55</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96.92</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96.98</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96.92</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95.57</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96.98</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95.57</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98.03</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96.98</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98.03</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99.02</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96.98</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99.02</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97.82</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96.98</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97.82</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97.94</v>
      </c>
      <c r="G231" s="15"/>
      <c r="H231" s="41">
        <f t="shared" si="92"/>
        <v>97.94</v>
      </c>
      <c r="I231" s="73">
        <f>IF(H231="","",IF($I$8="A",(RANK(H231,H$11:H$333,1)+COUNTIF(H$11:H231,H231)-1),(RANK(H231,H$11:H$333)+COUNTIF(H$11:H231,H231)-1)))</f>
        <v>6</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96.98</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97.94</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92.39</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96.98</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92.39</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95.17</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96.98</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95.17</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94.85</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96.98</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94.85</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98.03</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96.98</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98.03</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92.26</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96.98</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92.26</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97.82</v>
      </c>
      <c r="G237" s="15"/>
      <c r="H237" s="41">
        <f t="shared" si="92"/>
        <v>97.82</v>
      </c>
      <c r="I237" s="73">
        <f>IF(H237="","",IF($I$8="A",(RANK(H237,H$11:H$333,1)+COUNTIF(H$11:H237,H237)-1),(RANK(H237,H$11:H$333)+COUNTIF(H$11:H237,H237)-1)))</f>
        <v>8</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96.98</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97.82</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94.61</v>
      </c>
      <c r="G238" s="15"/>
      <c r="H238" s="41">
        <f t="shared" si="92"/>
        <v>94.61</v>
      </c>
      <c r="I238" s="73">
        <f>IF(H238="","",IF($I$8="A",(RANK(H238,H$11:H$333,1)+COUNTIF(H$11:H238,H238)-1),(RANK(H238,H$11:H$333)+COUNTIF(H$11:H238,H238)-1)))</f>
        <v>46</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96.98</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94.61</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97.25</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96.98</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97.25</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96.58</v>
      </c>
      <c r="G240" s="15"/>
      <c r="H240" s="41">
        <f t="shared" si="92"/>
        <v>96.58</v>
      </c>
      <c r="I240" s="73">
        <f>IF(H240="","",IF($I$8="A",(RANK(H240,H$11:H$333,1)+COUNTIF(H$11:H240,H240)-1),(RANK(H240,H$11:H$333)+COUNTIF(H$11:H240,H240)-1)))</f>
        <v>26</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96.98</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96.58</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99.3</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96.98</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99.3</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98.09</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96.98</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98.09</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97.24</v>
      </c>
      <c r="G243" s="15"/>
      <c r="H243" s="41">
        <f t="shared" si="92"/>
        <v>97.24</v>
      </c>
      <c r="I243" s="73">
        <f>IF(H243="","",IF($I$8="A",(RANK(H243,H$11:H$333,1)+COUNTIF(H$11:H243,H243)-1),(RANK(H243,H$11:H$333)+COUNTIF(H$11:H243,H243)-1)))</f>
        <v>18</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96.98</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97.24</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98.35</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96.98</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98.35</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96.19</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96.98</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96.19</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98.37</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96.98</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98.37</v>
      </c>
    </row>
    <row r="247" spans="1:50">
      <c r="A247" s="55" t="str">
        <f>$D$1&amp;237</f>
        <v>UA237</v>
      </c>
      <c r="B247" s="56">
        <f>IF(ISERROR(VLOOKUP(A247,classifications!A:C,3,FALSE)),0,VLOOKUP(A247,classifications!A:C,3,FALSE))</f>
        <v>0</v>
      </c>
      <c r="C247" t="s">
        <v>144</v>
      </c>
      <c r="D247" t="str">
        <f>VLOOKUP($C247,classifications!$C:$J,4,FALSE)</f>
        <v>SD</v>
      </c>
      <c r="E247">
        <f>VLOOKUP(C247,classifications!C:K,9,FALSE)</f>
        <v>0</v>
      </c>
      <c r="F247">
        <f t="shared" si="91"/>
        <v>97.23</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96.98</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97.23</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97.94</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96.98</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97.94</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96.37</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96.98</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96.37</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98.07</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96.98</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98.07</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93.87</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96.98</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93.87</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93.89</v>
      </c>
      <c r="G252" s="15"/>
      <c r="H252" s="41">
        <f t="shared" si="92"/>
        <v>93.89</v>
      </c>
      <c r="I252" s="73">
        <f>IF(H252="","",IF($I$8="A",(RANK(H252,H$11:H$333,1)+COUNTIF(H$11:H252,H252)-1),(RANK(H252,H$11:H$333)+COUNTIF(H$11:H252,H252)-1)))</f>
        <v>50</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96.98</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93.89</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97.58</v>
      </c>
      <c r="G253" s="15"/>
      <c r="H253" s="41">
        <f t="shared" si="92"/>
        <v>97.58</v>
      </c>
      <c r="I253" s="73">
        <f>IF(H253="","",IF($I$8="A",(RANK(H253,H$11:H$333,1)+COUNTIF(H$11:H253,H253)-1),(RANK(H253,H$11:H$333)+COUNTIF(H$11:H253,H253)-1)))</f>
        <v>10</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96.98</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97.58</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92.28</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96.98</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92.28</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97.5</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96.98</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97.5</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98.8</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96.98</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98.8</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94.19</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96.98</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94.19</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97.63</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96.98</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97.63</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96.98</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98.54</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96.98</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98.54</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94.37</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96.98</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94.37</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97.48</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96.98</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97.48</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95.09</v>
      </c>
      <c r="G263" s="15"/>
      <c r="H263" s="41">
        <f t="shared" si="92"/>
        <v>95.09</v>
      </c>
      <c r="I263" s="73">
        <f>IF(H263="","",IF($I$8="A",(RANK(H263,H$11:H$333,1)+COUNTIF(H$11:H263,H263)-1),(RANK(H263,H$11:H$333)+COUNTIF(H$11:H263,H263)-1)))</f>
        <v>43</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96.98</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95.09</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94.96</v>
      </c>
      <c r="G264" s="15"/>
      <c r="H264" s="41">
        <f t="shared" si="92"/>
        <v>94.96</v>
      </c>
      <c r="I264" s="73">
        <f>IF(H264="","",IF($I$8="A",(RANK(H264,H$11:H$333,1)+COUNTIF(H$11:H264,H264)-1),(RANK(H264,H$11:H$333)+COUNTIF(H$11:H264,H264)-1)))</f>
        <v>44</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96.98</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94.96</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97.91</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96.98</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97.91</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97.66</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96.98</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97.66</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96.98</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92.74</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96.98</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92.74</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96.98</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99.35</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96.98</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99.35</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98.29</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96.98</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98.29</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95.41</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96.98</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95.41</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95.87</v>
      </c>
      <c r="G273" s="15"/>
      <c r="H273" s="41">
        <f t="shared" si="116"/>
        <v>95.87</v>
      </c>
      <c r="I273" s="73">
        <f>IF(H273="","",IF($I$8="A",(RANK(H273,H$11:H$333,1)+COUNTIF(H$11:H273,H273)-1),(RANK(H273,H$11:H$333)+COUNTIF(H$11:H273,H273)-1)))</f>
        <v>37</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96.98</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95.87</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93.11</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96.98</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93.11</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97.54</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96.98</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97.54</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97.21</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96.98</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97.21</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97.69</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96.98</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97.69</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97.31</v>
      </c>
      <c r="G278" s="15"/>
      <c r="H278" s="41">
        <f t="shared" si="116"/>
        <v>97.31</v>
      </c>
      <c r="I278" s="73">
        <f>IF(H278="","",IF($I$8="A",(RANK(H278,H$11:H$333,1)+COUNTIF(H$11:H278,H278)-1),(RANK(H278,H$11:H$333)+COUNTIF(H$11:H278,H278)-1)))</f>
        <v>17</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96.98</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97.31</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93.87</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96.98</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93.87</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97.92</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96.98</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97.92</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97.94</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96.98</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97.94</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94.73</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96.98</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94.73</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98.57</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96.98</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98.57</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98.24</v>
      </c>
      <c r="G284" s="15"/>
      <c r="H284" s="41">
        <f t="shared" si="116"/>
        <v>98.24</v>
      </c>
      <c r="I284" s="73">
        <f>IF(H284="","",IF($I$8="A",(RANK(H284,H$11:H$333,1)+COUNTIF(H$11:H284,H284)-1),(RANK(H284,H$11:H$333)+COUNTIF(H$11:H284,H284)-1)))</f>
        <v>3</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96.98</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98.24</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98.03</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96.98</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98.03</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96.13</v>
      </c>
      <c r="G286" s="15"/>
      <c r="H286" s="41">
        <f t="shared" si="116"/>
        <v>96.13</v>
      </c>
      <c r="I286" s="73">
        <f>IF(H286="","",IF($I$8="A",(RANK(H286,H$11:H$333,1)+COUNTIF(H$11:H286,H286)-1),(RANK(H286,H$11:H$333)+COUNTIF(H$11:H286,H286)-1)))</f>
        <v>35</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96.98</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96.13</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97.06</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96.98</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97.06</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92.1</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96.98</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92.1</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97.37</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96.98</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97.37</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97.53</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96.98</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97.53</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98.47</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96.98</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98.47</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97.95</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96.98</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97.95</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94.97</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96.98</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94.97</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92.28</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96.98</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92.28</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95.15</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96.98</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95.15</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97.69</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96.98</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97.69</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96.37</v>
      </c>
      <c r="G297" s="15"/>
      <c r="H297" s="41">
        <f t="shared" si="116"/>
        <v>96.37</v>
      </c>
      <c r="I297" s="73">
        <f>IF(H297="","",IF($I$8="A",(RANK(H297,H$11:H$333,1)+COUNTIF(H$11:H297,H297)-1),(RANK(H297,H$11:H$333)+COUNTIF(H$11:H297,H297)-1)))</f>
        <v>30</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96.98</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96.37</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98.14</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96.98</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98.14</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96.98</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96.39</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96.98</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96.39</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97.81</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96.98</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97.81</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97.62</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96.98</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97.62</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97.24</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96.98</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97.24</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97.49</v>
      </c>
      <c r="G304" s="15"/>
      <c r="H304" s="41">
        <f t="shared" si="116"/>
        <v>97.49</v>
      </c>
      <c r="I304" s="73">
        <f>IF(H304="","",IF($I$8="A",(RANK(H304,H$11:H$333,1)+COUNTIF(H$11:H304,H304)-1),(RANK(H304,H$11:H$333)+COUNTIF(H$11:H304,H304)-1)))</f>
        <v>12</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96.98</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97.49</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98.3</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96.98</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98.3</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93.97</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96.98</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93.97</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97.73</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96.98</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97.73</v>
      </c>
    </row>
    <row r="308" spans="1:50">
      <c r="A308" s="55" t="str">
        <f>$D$1&amp;298</f>
        <v>UA298</v>
      </c>
      <c r="B308" s="56">
        <f>IF(ISERROR(VLOOKUP(A308,classifications!A:C,3,FALSE)),0,VLOOKUP(A308,classifications!A:C,3,FALSE))</f>
        <v>0</v>
      </c>
      <c r="C308" t="s">
        <v>898</v>
      </c>
      <c r="D308" t="str">
        <f>VLOOKUP($C308,classifications!$C:$J,4,FALSE)</f>
        <v>UA</v>
      </c>
      <c r="E308" t="str">
        <f>VLOOKUP(C308,classifications!C:K,9,FALSE)</f>
        <v>Sparse</v>
      </c>
      <c r="F308">
        <f t="shared" si="115"/>
        <v>96.35</v>
      </c>
      <c r="G308" s="15"/>
      <c r="H308" s="41">
        <f t="shared" si="116"/>
        <v>96.35</v>
      </c>
      <c r="I308" s="73">
        <f>IF(H308="","",IF($I$8="A",(RANK(H308,H$11:H$333,1)+COUNTIF(H$11:H308,H308)-1),(RANK(H308,H$11:H$333)+COUNTIF(H$11:H308,H308)-1)))</f>
        <v>31</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96.98</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96.35</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97.81</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96.98</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97.81</v>
      </c>
    </row>
    <row r="310" spans="1:50">
      <c r="A310" s="55" t="str">
        <f>$D$1&amp;300</f>
        <v>UA300</v>
      </c>
      <c r="B310" s="56">
        <f>IF(ISERROR(VLOOKUP(A310,classifications!A:C,3,FALSE)),0,VLOOKUP(A310,classifications!A:C,3,FALSE))</f>
        <v>0</v>
      </c>
      <c r="C310" t="s">
        <v>895</v>
      </c>
      <c r="D310" t="str">
        <f>VLOOKUP($C310,classifications!$C:$J,4,FALSE)</f>
        <v>SD</v>
      </c>
      <c r="E310" t="str">
        <f>VLOOKUP(C310,classifications!C:K,9,FALSE)</f>
        <v>Sparse</v>
      </c>
      <c r="F310">
        <f t="shared" si="115"/>
        <v>97.13</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96.98</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97.13</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96.98</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93.62</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96.98</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93.62</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95.19</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96.98</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95.19</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97.71</v>
      </c>
      <c r="G314" s="15"/>
      <c r="H314" s="41">
        <f t="shared" si="116"/>
        <v>97.71</v>
      </c>
      <c r="I314" s="73">
        <f>IF(H314="","",IF($I$8="A",(RANK(H314,H$11:H$333,1)+COUNTIF(H$11:H314,H314)-1),(RANK(H314,H$11:H$333)+COUNTIF(H$11:H314,H314)-1)))</f>
        <v>9</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96.98</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97.71</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98.14</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96.98</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98.14</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97.35</v>
      </c>
      <c r="G316" s="15"/>
      <c r="H316" s="41">
        <f t="shared" si="116"/>
        <v>97.35</v>
      </c>
      <c r="I316" s="73">
        <f>IF(H316="","",IF($I$8="A",(RANK(H316,H$11:H$333,1)+COUNTIF(H$11:H316,H316)-1),(RANK(H316,H$11:H$333)+COUNTIF(H$11:H316,H316)-1)))</f>
        <v>16</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96.98</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97.35</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93.72</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96.98</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93.72</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97.89</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96.98</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97.89</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99.26</v>
      </c>
      <c r="G319" s="15"/>
      <c r="H319" s="41">
        <f t="shared" si="116"/>
        <v>99.26</v>
      </c>
      <c r="I319" s="73">
        <f>IF(H319="","",IF($I$8="A",(RANK(H319,H$11:H$333,1)+COUNTIF(H$11:H319,H319)-1),(RANK(H319,H$11:H$333)+COUNTIF(H$11:H319,H319)-1)))</f>
        <v>1</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96.98</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99.26</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93.14</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96.98</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93.14</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94.73</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96.98</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94.73</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96.98</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96.59</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96.98</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96.59</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96.71</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96.98</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96.71</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97.18</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96.98</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97.18</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97.23</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96.98</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97.23</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97.38</v>
      </c>
      <c r="G327" s="15"/>
      <c r="H327" s="41">
        <f t="shared" si="116"/>
        <v>97.38</v>
      </c>
      <c r="I327" s="73">
        <f>IF(H327="","",IF($I$8="A",(RANK(H327,H$11:H$333,1)+COUNTIF(H$11:H327,H327)-1),(RANK(H327,H$11:H$333)+COUNTIF(H$11:H327,H327)-1)))</f>
        <v>15</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96.98</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97.38</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14" sqref="F14"/>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28.8">
      <c r="A2" s="232" t="s">
        <v>901</v>
      </c>
      <c r="B2" t="s">
        <v>811</v>
      </c>
      <c r="C2" t="s">
        <v>822</v>
      </c>
      <c r="D2" t="s">
        <v>887</v>
      </c>
      <c r="F2" t="s">
        <v>903</v>
      </c>
    </row>
    <row r="3" spans="1:6" ht="28.8">
      <c r="A3" s="232" t="s">
        <v>902</v>
      </c>
      <c r="B3" t="s">
        <v>811</v>
      </c>
      <c r="C3" t="s">
        <v>822</v>
      </c>
      <c r="D3" t="s">
        <v>887</v>
      </c>
      <c r="F3" t="s">
        <v>904</v>
      </c>
    </row>
    <row r="4" spans="1:6" ht="14.4">
      <c r="A4" s="232"/>
      <c r="F4" t="s">
        <v>905</v>
      </c>
    </row>
    <row r="5" spans="1:6" ht="14.4">
      <c r="A5" s="198"/>
      <c r="F5" t="s">
        <v>906</v>
      </c>
    </row>
    <row r="6" spans="1:6" ht="14.4">
      <c r="A6" s="198"/>
      <c r="F6" s="224" t="s">
        <v>907</v>
      </c>
    </row>
    <row r="7" spans="1:6" ht="14.4">
      <c r="F7" s="224" t="s">
        <v>908</v>
      </c>
    </row>
    <row r="8" spans="1:6" ht="14.4">
      <c r="F8" s="223" t="s">
        <v>909</v>
      </c>
    </row>
    <row r="9" spans="1:6" ht="14.4">
      <c r="F9" s="222" t="s">
        <v>910</v>
      </c>
    </row>
    <row r="10" spans="1:6" ht="14.4">
      <c r="F10" s="221" t="s">
        <v>911</v>
      </c>
    </row>
    <row r="11" spans="1:6" ht="14.4">
      <c r="F11" s="219" t="s">
        <v>912</v>
      </c>
    </row>
    <row r="12" spans="1:6" ht="14.4">
      <c r="F12" s="219" t="s">
        <v>913</v>
      </c>
    </row>
    <row r="13" spans="1:6" ht="14.4">
      <c r="F13" s="233" t="s">
        <v>914</v>
      </c>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H1" workbookViewId="0">
      <selection activeCell="O289" sqref="O289:Y289"/>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Council tax collected by 31 March as a % of amount collectable2012-13</v>
      </c>
      <c r="D1" s="136" t="str">
        <f t="shared" ref="D1:BI1" si="0">D4&amp;D5</f>
        <v>Council tax collected by 31 March as a % of amount collectable2013-14</v>
      </c>
      <c r="E1" s="136" t="str">
        <f t="shared" si="0"/>
        <v>Council tax collected by 31 March as a % of amount collectable2014-15</v>
      </c>
      <c r="F1" s="136" t="str">
        <f t="shared" si="0"/>
        <v>Council tax collected by 31 March as a % of amount collectable2015-16</v>
      </c>
      <c r="G1" s="136" t="str">
        <f t="shared" si="0"/>
        <v>Council tax collected by 31 March as a % of amount collectable2016-17</v>
      </c>
      <c r="H1" s="136" t="str">
        <f t="shared" si="0"/>
        <v>Council tax collected by 31 March as a % of amount collectable2017-18</v>
      </c>
      <c r="I1" s="136" t="str">
        <f t="shared" si="0"/>
        <v>Council tax collected by 31 March as a % of amount collectable2018-19</v>
      </c>
      <c r="J1" s="136" t="str">
        <f t="shared" si="0"/>
        <v>Council tax collected by 31 March as a % of amount collectable2019-20</v>
      </c>
      <c r="K1" s="136" t="str">
        <f t="shared" si="0"/>
        <v>Council tax collected by 31 March as a % of amount collectable2020-21</v>
      </c>
      <c r="L1" s="136" t="str">
        <f t="shared" si="0"/>
        <v>Council tax collected by 31 March as a % of amount collectable2021-22</v>
      </c>
      <c r="M1" s="136" t="str">
        <f t="shared" si="0"/>
        <v>Council tax collected by 31 March as a % of amount collectable2022-23</v>
      </c>
      <c r="N1" s="136" t="str">
        <f t="shared" si="0"/>
        <v>Council tax collected by 31 March as a % of amount collectable2023-24</v>
      </c>
      <c r="O1" s="136" t="str">
        <f t="shared" si="0"/>
        <v>Non Domestic Rates collected by 31 March as a % of amount collectable2012-13</v>
      </c>
      <c r="P1" s="136" t="str">
        <f t="shared" si="0"/>
        <v>Non Domestic Rates collected by 31 March as a % of amount collectable2013-14</v>
      </c>
      <c r="Q1" s="136" t="str">
        <f t="shared" si="0"/>
        <v>Non Domestic Rates collected by 31 March as a % of amount collectable2014-15</v>
      </c>
      <c r="R1" s="136" t="str">
        <f t="shared" si="0"/>
        <v>Non Domestic Rates collected by 31 March as a % of amount collectable2015-16</v>
      </c>
      <c r="S1" s="136" t="str">
        <f t="shared" si="0"/>
        <v>Non Domestic Rates collected by 31 March as a % of amount collectable2016-17</v>
      </c>
      <c r="T1" s="136" t="str">
        <f t="shared" si="0"/>
        <v>Non Domestic Rates collected by 31 March as a % of amount collectable2017-18</v>
      </c>
      <c r="U1" s="136" t="str">
        <f t="shared" si="0"/>
        <v>Non Domestic Rates collected by 31 March as a % of amount collectable2018-19</v>
      </c>
      <c r="V1" s="136" t="str">
        <f t="shared" si="0"/>
        <v>Non Domestic Rates collected by 31 March as a % of amount collectable2019-20</v>
      </c>
      <c r="W1" s="136" t="str">
        <f t="shared" si="0"/>
        <v>Non Domestic Rates collected by 31 March as a % of amount collectable2020-21</v>
      </c>
      <c r="X1" s="136" t="str">
        <f t="shared" si="0"/>
        <v>Non Domestic Rates collected by 31 March as a % of amount collectable2021-22</v>
      </c>
      <c r="Y1" s="136" t="str">
        <f t="shared" si="0"/>
        <v>Non Domestic Rates collected by 31 March as a % of amount collectable2022-23</v>
      </c>
      <c r="Z1" s="136" t="str">
        <f t="shared" si="0"/>
        <v>Non Domestic Rates collected by 31 March as a % of amount collectable2023-24</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6"/>
      <c r="Q3" s="326"/>
      <c r="R3" s="130"/>
      <c r="S3" s="130"/>
    </row>
    <row r="4" spans="1:71" ht="60" customHeight="1">
      <c r="A4" s="324" t="s">
        <v>821</v>
      </c>
      <c r="B4" s="138" t="s">
        <v>801</v>
      </c>
      <c r="C4" s="232" t="s">
        <v>901</v>
      </c>
      <c r="D4" s="232" t="s">
        <v>901</v>
      </c>
      <c r="E4" s="232" t="s">
        <v>901</v>
      </c>
      <c r="F4" s="232" t="s">
        <v>901</v>
      </c>
      <c r="G4" s="232" t="s">
        <v>901</v>
      </c>
      <c r="H4" s="232" t="s">
        <v>901</v>
      </c>
      <c r="I4" s="212" t="s">
        <v>901</v>
      </c>
      <c r="J4" s="212" t="s">
        <v>901</v>
      </c>
      <c r="K4" s="212" t="s">
        <v>901</v>
      </c>
      <c r="L4" s="212" t="s">
        <v>901</v>
      </c>
      <c r="M4" s="212" t="s">
        <v>901</v>
      </c>
      <c r="N4" s="212" t="s">
        <v>901</v>
      </c>
      <c r="O4" s="212" t="s">
        <v>902</v>
      </c>
      <c r="P4" s="212" t="s">
        <v>902</v>
      </c>
      <c r="Q4" s="212" t="s">
        <v>902</v>
      </c>
      <c r="R4" s="212" t="s">
        <v>902</v>
      </c>
      <c r="S4" s="212" t="s">
        <v>902</v>
      </c>
      <c r="T4" s="212" t="s">
        <v>902</v>
      </c>
      <c r="U4" s="212" t="s">
        <v>902</v>
      </c>
      <c r="V4" s="212" t="s">
        <v>902</v>
      </c>
      <c r="W4" s="212" t="s">
        <v>902</v>
      </c>
      <c r="X4" s="212" t="s">
        <v>902</v>
      </c>
      <c r="Y4" s="212" t="s">
        <v>902</v>
      </c>
      <c r="Z4" s="212" t="s">
        <v>902</v>
      </c>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5"/>
      <c r="B5" s="139" t="s">
        <v>364</v>
      </c>
      <c r="C5" t="s">
        <v>903</v>
      </c>
      <c r="D5" t="s">
        <v>904</v>
      </c>
      <c r="E5" t="s">
        <v>905</v>
      </c>
      <c r="F5" t="s">
        <v>906</v>
      </c>
      <c r="G5" t="s">
        <v>907</v>
      </c>
      <c r="H5" t="s">
        <v>908</v>
      </c>
      <c r="I5" t="s">
        <v>909</v>
      </c>
      <c r="J5" t="s">
        <v>910</v>
      </c>
      <c r="K5" t="s">
        <v>911</v>
      </c>
      <c r="L5" t="s">
        <v>912</v>
      </c>
      <c r="M5" t="s">
        <v>913</v>
      </c>
      <c r="N5" t="s">
        <v>914</v>
      </c>
      <c r="O5" t="s">
        <v>903</v>
      </c>
      <c r="P5" s="223" t="s">
        <v>904</v>
      </c>
      <c r="Q5" s="223" t="s">
        <v>905</v>
      </c>
      <c r="R5" s="223" t="s">
        <v>906</v>
      </c>
      <c r="S5" s="222" t="s">
        <v>907</v>
      </c>
      <c r="T5" s="222" t="s">
        <v>908</v>
      </c>
      <c r="U5" s="222" t="s">
        <v>909</v>
      </c>
      <c r="V5" s="221" t="s">
        <v>910</v>
      </c>
      <c r="W5" s="221" t="s">
        <v>911</v>
      </c>
      <c r="X5" s="221" t="s">
        <v>912</v>
      </c>
      <c r="Y5" s="220" t="s">
        <v>913</v>
      </c>
      <c r="Z5" s="233" t="s">
        <v>914</v>
      </c>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5"/>
      <c r="B6" s="139" t="s">
        <v>365</v>
      </c>
      <c r="C6" s="155" t="s">
        <v>885</v>
      </c>
      <c r="D6" s="155" t="s">
        <v>885</v>
      </c>
      <c r="E6" s="155" t="s">
        <v>885</v>
      </c>
      <c r="F6" s="155" t="s">
        <v>885</v>
      </c>
      <c r="G6" s="155" t="s">
        <v>885</v>
      </c>
      <c r="H6" s="155" t="s">
        <v>885</v>
      </c>
      <c r="I6" s="155" t="s">
        <v>885</v>
      </c>
      <c r="J6" s="155" t="s">
        <v>885</v>
      </c>
      <c r="K6" s="155" t="s">
        <v>885</v>
      </c>
      <c r="L6" s="155" t="s">
        <v>885</v>
      </c>
      <c r="M6" s="155" t="s">
        <v>885</v>
      </c>
      <c r="N6" s="155" t="s">
        <v>885</v>
      </c>
      <c r="O6" s="155" t="s">
        <v>885</v>
      </c>
      <c r="P6" s="155" t="s">
        <v>885</v>
      </c>
      <c r="Q6" s="155" t="s">
        <v>885</v>
      </c>
      <c r="R6" s="155" t="s">
        <v>885</v>
      </c>
      <c r="S6" s="155" t="s">
        <v>885</v>
      </c>
      <c r="T6" s="155" t="s">
        <v>885</v>
      </c>
      <c r="U6" s="155" t="s">
        <v>885</v>
      </c>
      <c r="V6" s="155" t="s">
        <v>885</v>
      </c>
      <c r="W6" s="155" t="s">
        <v>885</v>
      </c>
      <c r="X6" s="155" t="s">
        <v>885</v>
      </c>
      <c r="Y6" s="155" t="s">
        <v>885</v>
      </c>
      <c r="Z6" s="155" t="s">
        <v>885</v>
      </c>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97.72</v>
      </c>
      <c r="D7">
        <v>97.51</v>
      </c>
      <c r="E7">
        <v>97.62</v>
      </c>
      <c r="F7">
        <v>97.756076654625602</v>
      </c>
      <c r="G7">
        <v>97.893352812271729</v>
      </c>
      <c r="H7">
        <v>97.650225724139801</v>
      </c>
      <c r="I7">
        <v>97.767916456301649</v>
      </c>
      <c r="J7">
        <v>97.59</v>
      </c>
      <c r="K7">
        <v>96.09</v>
      </c>
      <c r="L7">
        <v>97.07</v>
      </c>
      <c r="M7">
        <v>97.25</v>
      </c>
      <c r="N7">
        <v>96.89</v>
      </c>
      <c r="O7">
        <v>96.69</v>
      </c>
      <c r="P7">
        <v>97.77</v>
      </c>
      <c r="Q7">
        <v>96.03</v>
      </c>
      <c r="R7">
        <v>96.899508522430196</v>
      </c>
      <c r="S7">
        <v>97.934316494090581</v>
      </c>
      <c r="T7">
        <v>98.654589755813305</v>
      </c>
      <c r="U7">
        <v>98.771601082656673</v>
      </c>
      <c r="V7">
        <v>98.3</v>
      </c>
      <c r="W7">
        <v>96.42</v>
      </c>
      <c r="X7">
        <v>98.69</v>
      </c>
      <c r="Y7">
        <v>98.98</v>
      </c>
      <c r="Z7">
        <v>97.7</v>
      </c>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98.85</v>
      </c>
      <c r="D8">
        <v>98.76</v>
      </c>
      <c r="E8">
        <v>98.7</v>
      </c>
      <c r="F8">
        <v>98.830191868819213</v>
      </c>
      <c r="G8">
        <v>98.979970027555311</v>
      </c>
      <c r="H8">
        <v>98.8294519080698</v>
      </c>
      <c r="I8">
        <v>98.780908568142607</v>
      </c>
      <c r="J8">
        <v>98.72</v>
      </c>
      <c r="K8">
        <v>98.44</v>
      </c>
      <c r="L8">
        <v>98.71</v>
      </c>
      <c r="M8">
        <v>98.64</v>
      </c>
      <c r="N8">
        <v>98.57</v>
      </c>
      <c r="O8">
        <v>99</v>
      </c>
      <c r="P8">
        <v>99.03</v>
      </c>
      <c r="Q8">
        <v>98.88</v>
      </c>
      <c r="R8">
        <v>99.033694382164398</v>
      </c>
      <c r="S8">
        <v>99.003790608063653</v>
      </c>
      <c r="T8">
        <v>98.966433074141605</v>
      </c>
      <c r="U8">
        <v>98.996165476821403</v>
      </c>
      <c r="V8">
        <v>98.76</v>
      </c>
      <c r="W8">
        <v>97.98</v>
      </c>
      <c r="X8">
        <v>98.49</v>
      </c>
      <c r="Y8">
        <v>98.79</v>
      </c>
      <c r="Z8">
        <v>98.88</v>
      </c>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98.15</v>
      </c>
      <c r="D9">
        <v>98.27</v>
      </c>
      <c r="E9">
        <v>98.15</v>
      </c>
      <c r="F9">
        <v>98.162350203869565</v>
      </c>
      <c r="G9">
        <v>98.247040075294919</v>
      </c>
      <c r="H9">
        <v>98.0123661589503</v>
      </c>
      <c r="I9">
        <v>97.793443645401197</v>
      </c>
      <c r="J9">
        <v>97.51</v>
      </c>
      <c r="K9">
        <v>96.94</v>
      </c>
      <c r="L9">
        <v>97.6</v>
      </c>
      <c r="M9">
        <v>97.74</v>
      </c>
      <c r="N9">
        <v>97.32</v>
      </c>
      <c r="O9">
        <v>98.77</v>
      </c>
      <c r="P9">
        <v>98.37</v>
      </c>
      <c r="Q9">
        <v>98.95</v>
      </c>
      <c r="R9">
        <v>99.35996785488777</v>
      </c>
      <c r="S9">
        <v>98.348987182574717</v>
      </c>
      <c r="T9">
        <v>99.080837758430107</v>
      </c>
      <c r="U9">
        <v>98.567537841093596</v>
      </c>
      <c r="V9">
        <v>97.33</v>
      </c>
      <c r="W9">
        <v>93.32</v>
      </c>
      <c r="X9">
        <v>97.21</v>
      </c>
      <c r="Y9">
        <v>97.82</v>
      </c>
      <c r="Z9">
        <v>97.81</v>
      </c>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97.35</v>
      </c>
      <c r="D10">
        <v>97.12</v>
      </c>
      <c r="E10">
        <v>96.82</v>
      </c>
      <c r="F10">
        <v>97.029328287606432</v>
      </c>
      <c r="G10">
        <v>97.309593752239024</v>
      </c>
      <c r="H10">
        <v>97.255001266143296</v>
      </c>
      <c r="I10">
        <v>97.177779194288632</v>
      </c>
      <c r="J10">
        <v>97.03</v>
      </c>
      <c r="K10">
        <v>95.7</v>
      </c>
      <c r="L10">
        <v>96.62</v>
      </c>
      <c r="M10">
        <v>95.79</v>
      </c>
      <c r="N10">
        <v>96.3</v>
      </c>
      <c r="O10">
        <v>97.91</v>
      </c>
      <c r="P10">
        <v>98.21</v>
      </c>
      <c r="Q10">
        <v>97.79</v>
      </c>
      <c r="R10">
        <v>98.409652565779908</v>
      </c>
      <c r="S10">
        <v>97.859809207797596</v>
      </c>
      <c r="T10">
        <v>98.385949554084306</v>
      </c>
      <c r="U10">
        <v>97.680212156116895</v>
      </c>
      <c r="V10">
        <v>97.95</v>
      </c>
      <c r="W10">
        <v>95.4</v>
      </c>
      <c r="X10">
        <v>96.55</v>
      </c>
      <c r="Y10">
        <v>97.8</v>
      </c>
      <c r="Z10">
        <v>97.78</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98.06</v>
      </c>
      <c r="D11">
        <v>98.4</v>
      </c>
      <c r="E11">
        <v>97.98</v>
      </c>
      <c r="F11">
        <v>98.443713256506612</v>
      </c>
      <c r="G11">
        <v>98.159267213042909</v>
      </c>
      <c r="H11">
        <v>97.964141281693799</v>
      </c>
      <c r="I11">
        <v>97.902034469353367</v>
      </c>
      <c r="J11">
        <v>97.72</v>
      </c>
      <c r="K11">
        <v>96.63</v>
      </c>
      <c r="L11">
        <v>97.44</v>
      </c>
      <c r="M11">
        <v>97.41</v>
      </c>
      <c r="N11">
        <v>97.05</v>
      </c>
      <c r="O11">
        <v>99.09</v>
      </c>
      <c r="P11">
        <v>98.9</v>
      </c>
      <c r="Q11">
        <v>99.32</v>
      </c>
      <c r="R11">
        <v>99.141541038525958</v>
      </c>
      <c r="S11">
        <v>98.930645922702737</v>
      </c>
      <c r="T11">
        <v>99.2854576663606</v>
      </c>
      <c r="U11">
        <v>98.718596873298594</v>
      </c>
      <c r="V11">
        <v>98.74</v>
      </c>
      <c r="W11">
        <v>90.82</v>
      </c>
      <c r="X11">
        <v>97.55</v>
      </c>
      <c r="Y11">
        <v>98.54</v>
      </c>
      <c r="Z11">
        <v>98.49</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98.32</v>
      </c>
      <c r="D12">
        <v>98.19</v>
      </c>
      <c r="E12">
        <v>98.37</v>
      </c>
      <c r="F12">
        <v>98.3521822730374</v>
      </c>
      <c r="G12">
        <v>98.39236674885241</v>
      </c>
      <c r="H12">
        <v>98.511853261810003</v>
      </c>
      <c r="I12">
        <v>98.417474848182735</v>
      </c>
      <c r="J12">
        <v>98.42</v>
      </c>
      <c r="K12">
        <v>97.66</v>
      </c>
      <c r="L12">
        <v>98.07</v>
      </c>
      <c r="M12">
        <v>98.11</v>
      </c>
      <c r="N12">
        <v>98.11</v>
      </c>
      <c r="O12">
        <v>97.92</v>
      </c>
      <c r="P12">
        <v>98.29</v>
      </c>
      <c r="Q12">
        <v>98.16</v>
      </c>
      <c r="R12">
        <v>98.39666708748895</v>
      </c>
      <c r="S12">
        <v>98.309424147600282</v>
      </c>
      <c r="T12">
        <v>98.472696245733701</v>
      </c>
      <c r="U12">
        <v>98.486822748098021</v>
      </c>
      <c r="V12">
        <v>98.33</v>
      </c>
      <c r="W12">
        <v>96.83</v>
      </c>
      <c r="X12">
        <v>96.78</v>
      </c>
      <c r="Y12">
        <v>97.64</v>
      </c>
      <c r="Z12">
        <v>97.06</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94.56</v>
      </c>
      <c r="D13">
        <v>94.13</v>
      </c>
      <c r="E13">
        <v>94.31</v>
      </c>
      <c r="F13">
        <v>94.819567719253996</v>
      </c>
      <c r="G13">
        <v>95.468373020035671</v>
      </c>
      <c r="H13">
        <v>95.751923590890499</v>
      </c>
      <c r="I13">
        <v>95.700695206732533</v>
      </c>
      <c r="J13">
        <v>95.67</v>
      </c>
      <c r="K13">
        <v>93.18</v>
      </c>
      <c r="L13">
        <v>93.64</v>
      </c>
      <c r="M13">
        <v>93.56</v>
      </c>
      <c r="N13">
        <v>93.54</v>
      </c>
      <c r="O13">
        <v>95.09</v>
      </c>
      <c r="P13">
        <v>96.96</v>
      </c>
      <c r="Q13">
        <v>97.89</v>
      </c>
      <c r="R13">
        <v>98.213466087631957</v>
      </c>
      <c r="S13">
        <v>98.261149300734814</v>
      </c>
      <c r="T13">
        <v>98.194563518079505</v>
      </c>
      <c r="U13">
        <v>98.282735858305287</v>
      </c>
      <c r="V13">
        <v>97.96</v>
      </c>
      <c r="W13">
        <v>86.85</v>
      </c>
      <c r="X13">
        <v>94.82</v>
      </c>
      <c r="Y13">
        <v>96.49</v>
      </c>
      <c r="Z13">
        <v>96.64</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96.7</v>
      </c>
      <c r="D14">
        <v>96.39</v>
      </c>
      <c r="E14">
        <v>96.45</v>
      </c>
      <c r="F14">
        <v>96.092170158676808</v>
      </c>
      <c r="G14">
        <v>96.126312972502845</v>
      </c>
      <c r="H14">
        <v>96.0167055644269</v>
      </c>
      <c r="I14">
        <v>95.820601281419414</v>
      </c>
      <c r="J14">
        <v>95.65</v>
      </c>
      <c r="K14">
        <v>94.94</v>
      </c>
      <c r="L14">
        <v>94.47</v>
      </c>
      <c r="M14">
        <v>95.01</v>
      </c>
      <c r="N14">
        <v>94.51</v>
      </c>
      <c r="O14">
        <v>95.63</v>
      </c>
      <c r="P14">
        <v>95.75</v>
      </c>
      <c r="Q14">
        <v>96.32</v>
      </c>
      <c r="R14">
        <v>96.729933274896695</v>
      </c>
      <c r="S14">
        <v>97.030051375888533</v>
      </c>
      <c r="T14">
        <v>96.888244382871093</v>
      </c>
      <c r="U14">
        <v>96.769984239692249</v>
      </c>
      <c r="V14">
        <v>95.95</v>
      </c>
      <c r="W14">
        <v>82.42</v>
      </c>
      <c r="X14">
        <v>90.83</v>
      </c>
      <c r="Y14">
        <v>93.74</v>
      </c>
      <c r="Z14">
        <v>94.04</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96.33</v>
      </c>
      <c r="D15">
        <v>95.51</v>
      </c>
      <c r="E15">
        <v>95.68</v>
      </c>
      <c r="F15">
        <v>96.011630111876627</v>
      </c>
      <c r="G15">
        <v>95.776964718314773</v>
      </c>
      <c r="H15">
        <v>96.072094352171902</v>
      </c>
      <c r="I15">
        <v>96.026571750775304</v>
      </c>
      <c r="J15">
        <v>95.85</v>
      </c>
      <c r="K15">
        <v>96.26</v>
      </c>
      <c r="L15">
        <v>96.77</v>
      </c>
      <c r="M15">
        <v>96.85</v>
      </c>
      <c r="N15">
        <v>96.72</v>
      </c>
      <c r="O15">
        <v>97.32</v>
      </c>
      <c r="P15">
        <v>96.39</v>
      </c>
      <c r="Q15">
        <v>97.23</v>
      </c>
      <c r="R15">
        <v>97.075602425900271</v>
      </c>
      <c r="S15">
        <v>97.335893854748605</v>
      </c>
      <c r="T15">
        <v>98.391043226810993</v>
      </c>
      <c r="U15">
        <v>97.766772053582855</v>
      </c>
      <c r="V15">
        <v>98.26</v>
      </c>
      <c r="W15">
        <v>98.27</v>
      </c>
      <c r="X15">
        <v>98.12</v>
      </c>
      <c r="Y15">
        <v>98.46</v>
      </c>
      <c r="Z15">
        <v>98.18</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97.83</v>
      </c>
      <c r="D16">
        <v>97.12</v>
      </c>
      <c r="E16">
        <v>97.07</v>
      </c>
      <c r="F16">
        <v>97.165054873410838</v>
      </c>
      <c r="G16">
        <v>97.006747972512841</v>
      </c>
      <c r="H16">
        <v>96.556445132295593</v>
      </c>
      <c r="I16">
        <v>96.37107366682929</v>
      </c>
      <c r="J16">
        <v>96.71</v>
      </c>
      <c r="K16">
        <v>95.75</v>
      </c>
      <c r="L16">
        <v>96.27</v>
      </c>
      <c r="M16">
        <v>96.47</v>
      </c>
      <c r="N16">
        <v>96.47</v>
      </c>
      <c r="O16">
        <v>98.47</v>
      </c>
      <c r="P16">
        <v>98.65</v>
      </c>
      <c r="Q16">
        <v>98.7</v>
      </c>
      <c r="R16">
        <v>99.40036290661763</v>
      </c>
      <c r="S16">
        <v>98.467239741529937</v>
      </c>
      <c r="T16">
        <v>98.724548227266595</v>
      </c>
      <c r="U16">
        <v>99.429966447392161</v>
      </c>
      <c r="V16">
        <v>98.47</v>
      </c>
      <c r="W16">
        <v>96.2</v>
      </c>
      <c r="X16">
        <v>98.52</v>
      </c>
      <c r="Y16">
        <v>98.68</v>
      </c>
      <c r="Z16">
        <v>98.74</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98.52</v>
      </c>
      <c r="D17">
        <v>98.53</v>
      </c>
      <c r="E17">
        <v>98.54</v>
      </c>
      <c r="F17">
        <v>98.602569986232211</v>
      </c>
      <c r="G17">
        <v>98.664621788902878</v>
      </c>
      <c r="H17">
        <v>98.607175846643997</v>
      </c>
      <c r="I17">
        <v>98.607077864250599</v>
      </c>
      <c r="J17">
        <v>98.35</v>
      </c>
      <c r="K17">
        <v>97.95</v>
      </c>
      <c r="L17">
        <v>98.16</v>
      </c>
      <c r="M17">
        <v>98.04</v>
      </c>
      <c r="N17">
        <v>97.94</v>
      </c>
      <c r="O17">
        <v>98.8</v>
      </c>
      <c r="P17">
        <v>98.62</v>
      </c>
      <c r="Q17">
        <v>99.67</v>
      </c>
      <c r="R17">
        <v>99.278176611353032</v>
      </c>
      <c r="S17">
        <v>99.423824718694689</v>
      </c>
      <c r="T17">
        <v>99.470933525565101</v>
      </c>
      <c r="U17">
        <v>98.89993761220255</v>
      </c>
      <c r="V17">
        <v>98.39</v>
      </c>
      <c r="W17">
        <v>99.63</v>
      </c>
      <c r="X17">
        <v>99.61</v>
      </c>
      <c r="Y17">
        <v>99.66</v>
      </c>
      <c r="Z17">
        <v>98.84</v>
      </c>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97.27</v>
      </c>
      <c r="D18">
        <v>97.19</v>
      </c>
      <c r="E18">
        <v>96.98</v>
      </c>
      <c r="F18">
        <v>96.851809008560082</v>
      </c>
      <c r="G18">
        <v>96.797774724808761</v>
      </c>
      <c r="H18">
        <v>96.680451188311494</v>
      </c>
      <c r="I18">
        <v>96.5462491116118</v>
      </c>
      <c r="J18">
        <v>95.98</v>
      </c>
      <c r="K18">
        <v>95.97</v>
      </c>
      <c r="L18">
        <v>95.84</v>
      </c>
      <c r="M18">
        <v>95.86</v>
      </c>
      <c r="N18">
        <v>95.5</v>
      </c>
      <c r="O18">
        <v>98.69</v>
      </c>
      <c r="P18">
        <v>98.91</v>
      </c>
      <c r="Q18">
        <v>98.8</v>
      </c>
      <c r="R18">
        <v>99.254780132401351</v>
      </c>
      <c r="S18">
        <v>98.720309859689763</v>
      </c>
      <c r="T18">
        <v>98.603346475999899</v>
      </c>
      <c r="U18">
        <v>98.523633311715571</v>
      </c>
      <c r="V18">
        <v>99.46</v>
      </c>
      <c r="W18">
        <v>98.92</v>
      </c>
      <c r="X18">
        <v>99.52</v>
      </c>
      <c r="Y18">
        <v>98.49</v>
      </c>
      <c r="Z18">
        <v>92.25</v>
      </c>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98.9</v>
      </c>
      <c r="D19">
        <v>98.78</v>
      </c>
      <c r="E19">
        <v>98.63</v>
      </c>
      <c r="F19">
        <v>98.731551310586255</v>
      </c>
      <c r="G19">
        <v>98.801931768930714</v>
      </c>
      <c r="H19">
        <v>98.121694429341105</v>
      </c>
      <c r="I19">
        <v>98.215461670454019</v>
      </c>
      <c r="J19">
        <v>98.14</v>
      </c>
      <c r="K19">
        <v>98.47</v>
      </c>
      <c r="L19">
        <v>97.83</v>
      </c>
      <c r="M19">
        <v>97.7</v>
      </c>
      <c r="N19">
        <v>97.13</v>
      </c>
      <c r="O19">
        <v>97.92</v>
      </c>
      <c r="P19">
        <v>98.3</v>
      </c>
      <c r="Q19">
        <v>98.84</v>
      </c>
      <c r="R19">
        <v>98.04056582591123</v>
      </c>
      <c r="S19">
        <v>98.77959015428101</v>
      </c>
      <c r="T19">
        <v>98.839803659080701</v>
      </c>
      <c r="U19">
        <v>98.609678558813144</v>
      </c>
      <c r="V19">
        <v>98.06</v>
      </c>
      <c r="W19">
        <v>94.36</v>
      </c>
      <c r="X19">
        <v>97.18</v>
      </c>
      <c r="Y19">
        <v>97.54</v>
      </c>
      <c r="Z19">
        <v>96.93</v>
      </c>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97.66</v>
      </c>
      <c r="D20">
        <v>97.52</v>
      </c>
      <c r="E20">
        <v>97.56</v>
      </c>
      <c r="F20">
        <v>97.468151590417435</v>
      </c>
      <c r="G20">
        <v>97.611856883376504</v>
      </c>
      <c r="H20">
        <v>97.556813619208199</v>
      </c>
      <c r="I20">
        <v>97.557410289055497</v>
      </c>
      <c r="J20">
        <v>97.41</v>
      </c>
      <c r="K20">
        <v>96.72</v>
      </c>
      <c r="L20">
        <v>97.05</v>
      </c>
      <c r="M20">
        <v>96.68</v>
      </c>
      <c r="N20">
        <v>96.45</v>
      </c>
      <c r="O20">
        <v>98.18</v>
      </c>
      <c r="P20">
        <v>98.69</v>
      </c>
      <c r="Q20">
        <v>98.55</v>
      </c>
      <c r="R20">
        <v>98.317723822628608</v>
      </c>
      <c r="S20">
        <v>98.541489866662829</v>
      </c>
      <c r="T20">
        <v>98.899375721175105</v>
      </c>
      <c r="U20">
        <v>98.978151557032376</v>
      </c>
      <c r="V20">
        <v>97.72</v>
      </c>
      <c r="W20">
        <v>97.55</v>
      </c>
      <c r="X20">
        <v>97.65</v>
      </c>
      <c r="Y20">
        <v>98.26</v>
      </c>
      <c r="Z20">
        <v>96.36</v>
      </c>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96.13</v>
      </c>
      <c r="D21">
        <v>96.27</v>
      </c>
      <c r="E21">
        <v>96.57</v>
      </c>
      <c r="F21">
        <v>96.696298606778953</v>
      </c>
      <c r="G21">
        <v>96.525615446903359</v>
      </c>
      <c r="H21">
        <v>96.273877965505307</v>
      </c>
      <c r="I21">
        <v>96.301903443239041</v>
      </c>
      <c r="J21">
        <v>96.31</v>
      </c>
      <c r="K21">
        <v>95.09</v>
      </c>
      <c r="L21">
        <v>95.38</v>
      </c>
      <c r="M21">
        <v>95.21</v>
      </c>
      <c r="N21">
        <v>95.35</v>
      </c>
      <c r="O21">
        <v>98.31</v>
      </c>
      <c r="P21">
        <v>98.4</v>
      </c>
      <c r="Q21">
        <v>98.49</v>
      </c>
      <c r="R21">
        <v>98.518758632353354</v>
      </c>
      <c r="S21">
        <v>98.849841988905325</v>
      </c>
      <c r="T21">
        <v>98.950127687173094</v>
      </c>
      <c r="U21">
        <v>98.611439531278734</v>
      </c>
      <c r="V21">
        <v>98.59</v>
      </c>
      <c r="W21">
        <v>90.83</v>
      </c>
      <c r="X21">
        <v>95.13</v>
      </c>
      <c r="Y21">
        <v>96.41</v>
      </c>
      <c r="Z21">
        <v>97.23</v>
      </c>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95.36</v>
      </c>
      <c r="D22">
        <v>95.34</v>
      </c>
      <c r="E22">
        <v>94.56</v>
      </c>
      <c r="F22">
        <v>94.627291128028716</v>
      </c>
      <c r="G22">
        <v>94.550587848585693</v>
      </c>
      <c r="H22">
        <v>94.495856086665995</v>
      </c>
      <c r="I22">
        <v>94.404342508284628</v>
      </c>
      <c r="J22">
        <v>94.28</v>
      </c>
      <c r="K22">
        <v>92.62</v>
      </c>
      <c r="L22">
        <v>92.89</v>
      </c>
      <c r="M22">
        <v>90.16</v>
      </c>
      <c r="N22">
        <v>90.91</v>
      </c>
      <c r="O22">
        <v>95.56</v>
      </c>
      <c r="P22">
        <v>95.46</v>
      </c>
      <c r="Q22">
        <v>96.73</v>
      </c>
      <c r="R22">
        <v>96.734994046646278</v>
      </c>
      <c r="S22">
        <v>97.196502406290236</v>
      </c>
      <c r="T22">
        <v>97.0532487553387</v>
      </c>
      <c r="U22">
        <v>96.263083591108554</v>
      </c>
      <c r="V22">
        <v>96.9</v>
      </c>
      <c r="W22">
        <v>91.28</v>
      </c>
      <c r="X22">
        <v>95.78</v>
      </c>
      <c r="Y22">
        <v>90.07</v>
      </c>
      <c r="Z22">
        <v>94.15</v>
      </c>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97.05</v>
      </c>
      <c r="D23">
        <v>97.5</v>
      </c>
      <c r="E23">
        <v>97.87</v>
      </c>
      <c r="F23">
        <v>97.949438782892699</v>
      </c>
      <c r="G23">
        <v>97.952590401307845</v>
      </c>
      <c r="H23">
        <v>98.183758717774097</v>
      </c>
      <c r="I23">
        <v>97.964219617520058</v>
      </c>
      <c r="J23">
        <v>98.04</v>
      </c>
      <c r="K23">
        <v>97.79</v>
      </c>
      <c r="L23">
        <v>98.02</v>
      </c>
      <c r="M23">
        <v>97.83</v>
      </c>
      <c r="N23">
        <v>97.35</v>
      </c>
      <c r="O23">
        <v>96.78</v>
      </c>
      <c r="P23">
        <v>99.1</v>
      </c>
      <c r="Q23">
        <v>99.17</v>
      </c>
      <c r="R23">
        <v>97.350718761518621</v>
      </c>
      <c r="S23">
        <v>98.640617528519698</v>
      </c>
      <c r="T23">
        <v>98.787224859732405</v>
      </c>
      <c r="U23">
        <v>99.360506562670352</v>
      </c>
      <c r="V23">
        <v>99.16</v>
      </c>
      <c r="W23">
        <v>98.34</v>
      </c>
      <c r="X23">
        <v>97.89</v>
      </c>
      <c r="Y23">
        <v>99.21</v>
      </c>
      <c r="Z23">
        <v>97.77</v>
      </c>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96.78</v>
      </c>
      <c r="D24">
        <v>95.55</v>
      </c>
      <c r="E24">
        <v>95.85</v>
      </c>
      <c r="F24">
        <v>95.229451919662239</v>
      </c>
      <c r="G24">
        <v>95.278961862009126</v>
      </c>
      <c r="H24">
        <v>95.337315781943005</v>
      </c>
      <c r="I24">
        <v>95.079124214177327</v>
      </c>
      <c r="J24">
        <v>94.9</v>
      </c>
      <c r="K24">
        <v>94.77</v>
      </c>
      <c r="L24">
        <v>94.76</v>
      </c>
      <c r="M24">
        <v>95.78</v>
      </c>
      <c r="N24">
        <v>95.3</v>
      </c>
      <c r="O24">
        <v>97.29</v>
      </c>
      <c r="P24">
        <v>96.89</v>
      </c>
      <c r="Q24">
        <v>97.77</v>
      </c>
      <c r="R24">
        <v>98.732831916285164</v>
      </c>
      <c r="S24">
        <v>97.441377381855958</v>
      </c>
      <c r="T24">
        <v>98.522773902338898</v>
      </c>
      <c r="U24">
        <v>98.250097457443587</v>
      </c>
      <c r="V24">
        <v>98.29</v>
      </c>
      <c r="W24">
        <v>96.52</v>
      </c>
      <c r="X24">
        <v>97.75</v>
      </c>
      <c r="Y24">
        <v>97.82</v>
      </c>
      <c r="Z24">
        <v>98.45</v>
      </c>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95.46</v>
      </c>
      <c r="D25">
        <v>93.09</v>
      </c>
      <c r="E25">
        <v>92.35</v>
      </c>
      <c r="F25">
        <v>90.724222800188514</v>
      </c>
      <c r="G25">
        <v>90.009618892832265</v>
      </c>
      <c r="H25">
        <v>91.330327124396504</v>
      </c>
      <c r="I25">
        <v>91.998450351650973</v>
      </c>
      <c r="J25">
        <v>91.49</v>
      </c>
      <c r="K25">
        <v>87.76</v>
      </c>
      <c r="L25">
        <v>88</v>
      </c>
      <c r="M25">
        <v>88.87</v>
      </c>
      <c r="N25">
        <v>88.97</v>
      </c>
      <c r="O25">
        <v>94.25</v>
      </c>
      <c r="P25">
        <v>94.91</v>
      </c>
      <c r="Q25">
        <v>95.09</v>
      </c>
      <c r="R25">
        <v>95.093142933100395</v>
      </c>
      <c r="S25">
        <v>93.941022742016202</v>
      </c>
      <c r="T25">
        <v>95.616416319800507</v>
      </c>
      <c r="U25">
        <v>96.155707946752727</v>
      </c>
      <c r="V25">
        <v>95.63</v>
      </c>
      <c r="W25">
        <v>85.77</v>
      </c>
      <c r="X25">
        <v>92.27</v>
      </c>
      <c r="Y25">
        <v>95.06</v>
      </c>
      <c r="Z25">
        <v>94.57</v>
      </c>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97.81</v>
      </c>
      <c r="D26">
        <v>97.35</v>
      </c>
      <c r="E26">
        <v>97.42</v>
      </c>
      <c r="F26">
        <v>97.690978429269464</v>
      </c>
      <c r="G26">
        <v>97.71180673698538</v>
      </c>
      <c r="H26">
        <v>97.759307079836404</v>
      </c>
      <c r="I26">
        <v>97.543264851735657</v>
      </c>
      <c r="J26">
        <v>97.3</v>
      </c>
      <c r="K26">
        <v>96.01</v>
      </c>
      <c r="L26">
        <v>96.63</v>
      </c>
      <c r="M26">
        <v>96.41</v>
      </c>
      <c r="N26">
        <v>96.65</v>
      </c>
      <c r="O26">
        <v>99.11</v>
      </c>
      <c r="P26">
        <v>98.71</v>
      </c>
      <c r="Q26">
        <v>98.67</v>
      </c>
      <c r="R26">
        <v>99.204860544772473</v>
      </c>
      <c r="S26">
        <v>99.386758526706288</v>
      </c>
      <c r="T26">
        <v>99.117431687671001</v>
      </c>
      <c r="U26">
        <v>99.31079276873669</v>
      </c>
      <c r="V26">
        <v>98.87</v>
      </c>
      <c r="W26">
        <v>98.33</v>
      </c>
      <c r="X26">
        <v>98.26</v>
      </c>
      <c r="Y26">
        <v>98.14</v>
      </c>
      <c r="Z26">
        <v>98.45</v>
      </c>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96.41</v>
      </c>
      <c r="D27">
        <v>95.83</v>
      </c>
      <c r="E27">
        <v>95.9</v>
      </c>
      <c r="F27">
        <v>95.880894222106633</v>
      </c>
      <c r="G27">
        <v>95.86397058823529</v>
      </c>
      <c r="H27">
        <v>95.290716193369704</v>
      </c>
      <c r="I27">
        <v>95.029702058421734</v>
      </c>
      <c r="J27">
        <v>95.13</v>
      </c>
      <c r="K27">
        <v>94.57</v>
      </c>
      <c r="L27">
        <v>93.99</v>
      </c>
      <c r="M27">
        <v>94.45</v>
      </c>
      <c r="N27">
        <v>93.84</v>
      </c>
      <c r="O27">
        <v>96.14</v>
      </c>
      <c r="P27">
        <v>96.32</v>
      </c>
      <c r="Q27">
        <v>96.35</v>
      </c>
      <c r="R27">
        <v>96.37725431629444</v>
      </c>
      <c r="S27">
        <v>95.938049829484982</v>
      </c>
      <c r="T27">
        <v>96.5460342943786</v>
      </c>
      <c r="U27">
        <v>95.068057080131723</v>
      </c>
      <c r="V27">
        <v>94.95</v>
      </c>
      <c r="W27">
        <v>89.5</v>
      </c>
      <c r="X27">
        <v>93.44</v>
      </c>
      <c r="Y27">
        <v>95.61</v>
      </c>
      <c r="Z27">
        <v>96.47</v>
      </c>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96.05</v>
      </c>
      <c r="D28">
        <v>95.37</v>
      </c>
      <c r="E28">
        <v>95.84</v>
      </c>
      <c r="F28">
        <v>96.030046948356812</v>
      </c>
      <c r="G28">
        <v>96.018685635417782</v>
      </c>
      <c r="H28">
        <v>96.1426875906633</v>
      </c>
      <c r="I28">
        <v>96.010761666202811</v>
      </c>
      <c r="J28">
        <v>95.85</v>
      </c>
      <c r="K28">
        <v>94.21</v>
      </c>
      <c r="L28">
        <v>94.01</v>
      </c>
      <c r="M28">
        <v>93.72</v>
      </c>
      <c r="N28">
        <v>93.37</v>
      </c>
      <c r="O28">
        <v>97.38</v>
      </c>
      <c r="P28">
        <v>97.74</v>
      </c>
      <c r="Q28">
        <v>98.14</v>
      </c>
      <c r="R28">
        <v>97.999097337144576</v>
      </c>
      <c r="S28">
        <v>98.143040094571958</v>
      </c>
      <c r="T28">
        <v>98.187280921381998</v>
      </c>
      <c r="U28">
        <v>96.188405797101453</v>
      </c>
      <c r="V28">
        <v>97.78</v>
      </c>
      <c r="W28">
        <v>96.6</v>
      </c>
      <c r="X28">
        <v>94.08</v>
      </c>
      <c r="Y28">
        <v>92.45</v>
      </c>
      <c r="Z28">
        <v>93.75</v>
      </c>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t="s">
        <v>879</v>
      </c>
      <c r="D29" t="s">
        <v>879</v>
      </c>
      <c r="E29" t="s">
        <v>879</v>
      </c>
      <c r="F29" t="s">
        <v>879</v>
      </c>
      <c r="G29" t="s">
        <v>879</v>
      </c>
      <c r="H29" t="s">
        <v>879</v>
      </c>
      <c r="I29" t="s">
        <v>879</v>
      </c>
      <c r="J29">
        <v>97.16</v>
      </c>
      <c r="K29">
        <v>95.12</v>
      </c>
      <c r="L29">
        <v>95.32</v>
      </c>
      <c r="M29">
        <v>95.86</v>
      </c>
      <c r="N29">
        <v>96.29</v>
      </c>
      <c r="O29" t="s">
        <v>879</v>
      </c>
      <c r="P29" t="s">
        <v>879</v>
      </c>
      <c r="Q29" t="s">
        <v>879</v>
      </c>
      <c r="R29" t="s">
        <v>879</v>
      </c>
      <c r="S29" t="s">
        <v>879</v>
      </c>
      <c r="T29" t="s">
        <v>879</v>
      </c>
      <c r="U29" t="s">
        <v>879</v>
      </c>
      <c r="V29">
        <v>98.07</v>
      </c>
      <c r="W29">
        <v>90.67</v>
      </c>
      <c r="X29">
        <v>95.85</v>
      </c>
      <c r="Y29">
        <v>96.44</v>
      </c>
      <c r="Z29">
        <v>97.6</v>
      </c>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97.6</v>
      </c>
      <c r="D30">
        <v>97.57</v>
      </c>
      <c r="E30">
        <v>97.86</v>
      </c>
      <c r="F30">
        <v>98.259907463287064</v>
      </c>
      <c r="G30">
        <v>98.284140102321913</v>
      </c>
      <c r="H30">
        <v>98.500074548978603</v>
      </c>
      <c r="I30">
        <v>98.367078511760681</v>
      </c>
      <c r="J30">
        <v>97.87</v>
      </c>
      <c r="K30">
        <v>97.91</v>
      </c>
      <c r="L30">
        <v>97.31</v>
      </c>
      <c r="M30">
        <v>97.21</v>
      </c>
      <c r="N30">
        <v>97.07</v>
      </c>
      <c r="O30">
        <v>97.24</v>
      </c>
      <c r="P30">
        <v>98.79</v>
      </c>
      <c r="Q30">
        <v>97.86</v>
      </c>
      <c r="R30">
        <v>98.898659486709434</v>
      </c>
      <c r="S30">
        <v>98.62053369516056</v>
      </c>
      <c r="T30">
        <v>99.887510936436698</v>
      </c>
      <c r="U30">
        <v>99.902615108941234</v>
      </c>
      <c r="V30">
        <v>99.87</v>
      </c>
      <c r="W30">
        <v>96.88</v>
      </c>
      <c r="X30">
        <v>96.59</v>
      </c>
      <c r="Y30">
        <v>99.97</v>
      </c>
      <c r="Z30">
        <v>99.65</v>
      </c>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95.47</v>
      </c>
      <c r="D31">
        <v>94.33</v>
      </c>
      <c r="E31">
        <v>94.17</v>
      </c>
      <c r="F31">
        <v>94.262998403371384</v>
      </c>
      <c r="G31">
        <v>94.001187372551044</v>
      </c>
      <c r="H31">
        <v>94.1548329326572</v>
      </c>
      <c r="I31">
        <v>93.921207203711219</v>
      </c>
      <c r="J31">
        <v>94.05</v>
      </c>
      <c r="K31">
        <v>94.18</v>
      </c>
      <c r="L31">
        <v>94.37</v>
      </c>
      <c r="M31">
        <v>94.37</v>
      </c>
      <c r="N31">
        <v>94.22</v>
      </c>
      <c r="O31">
        <v>96.79</v>
      </c>
      <c r="P31">
        <v>97.76</v>
      </c>
      <c r="Q31">
        <v>97.95</v>
      </c>
      <c r="R31">
        <v>96.935257132066496</v>
      </c>
      <c r="S31">
        <v>97.011859935968431</v>
      </c>
      <c r="T31">
        <v>97.5254523882261</v>
      </c>
      <c r="U31">
        <v>97.944189282240941</v>
      </c>
      <c r="V31">
        <v>96.7</v>
      </c>
      <c r="W31">
        <v>92.32</v>
      </c>
      <c r="X31">
        <v>95.59</v>
      </c>
      <c r="Y31">
        <v>97.62</v>
      </c>
      <c r="Z31">
        <v>97.13</v>
      </c>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98.63</v>
      </c>
      <c r="D32">
        <v>98.69</v>
      </c>
      <c r="E32">
        <v>98.16</v>
      </c>
      <c r="F32">
        <v>98.261566561107969</v>
      </c>
      <c r="G32">
        <v>98.378041949337145</v>
      </c>
      <c r="H32">
        <v>98.398610612049296</v>
      </c>
      <c r="I32">
        <v>98.219956826889387</v>
      </c>
      <c r="J32">
        <v>98.01</v>
      </c>
      <c r="K32">
        <v>96.65</v>
      </c>
      <c r="L32">
        <v>97.4</v>
      </c>
      <c r="M32">
        <v>97.72</v>
      </c>
      <c r="N32">
        <v>97.59</v>
      </c>
      <c r="O32">
        <v>98.7</v>
      </c>
      <c r="P32">
        <v>97.98</v>
      </c>
      <c r="Q32">
        <v>98.04</v>
      </c>
      <c r="R32">
        <v>98.787251179380959</v>
      </c>
      <c r="S32">
        <v>99.020608039175684</v>
      </c>
      <c r="T32">
        <v>98.815193674776495</v>
      </c>
      <c r="U32">
        <v>99.048672056757198</v>
      </c>
      <c r="V32">
        <v>99.28</v>
      </c>
      <c r="W32">
        <v>95.72</v>
      </c>
      <c r="X32">
        <v>98.66</v>
      </c>
      <c r="Y32">
        <v>98.92</v>
      </c>
      <c r="Z32">
        <v>98.12</v>
      </c>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98.19</v>
      </c>
      <c r="D33">
        <v>97.89</v>
      </c>
      <c r="E33">
        <v>97.78</v>
      </c>
      <c r="F33">
        <v>97.816551320791504</v>
      </c>
      <c r="G33">
        <v>97.880589695650841</v>
      </c>
      <c r="H33">
        <v>97.684313415458007</v>
      </c>
      <c r="I33">
        <v>97.557511689912516</v>
      </c>
      <c r="J33">
        <v>97.51</v>
      </c>
      <c r="K33">
        <v>97.3</v>
      </c>
      <c r="L33">
        <v>97.58</v>
      </c>
      <c r="M33">
        <v>97.45</v>
      </c>
      <c r="N33">
        <v>97.25</v>
      </c>
      <c r="O33">
        <v>98.49</v>
      </c>
      <c r="P33">
        <v>98.32</v>
      </c>
      <c r="Q33">
        <v>98.11</v>
      </c>
      <c r="R33">
        <v>98.596377749029756</v>
      </c>
      <c r="S33">
        <v>98.574415510359245</v>
      </c>
      <c r="T33">
        <v>98.033978320961495</v>
      </c>
      <c r="U33">
        <v>96.536105223425579</v>
      </c>
      <c r="V33">
        <v>97.64</v>
      </c>
      <c r="W33">
        <v>96.53</v>
      </c>
      <c r="X33">
        <v>98.39</v>
      </c>
      <c r="Y33">
        <v>97.44</v>
      </c>
      <c r="Z33">
        <v>97.42</v>
      </c>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95.87</v>
      </c>
      <c r="D34">
        <v>95.69</v>
      </c>
      <c r="E34">
        <v>95.6</v>
      </c>
      <c r="F34">
        <v>95.86935081510704</v>
      </c>
      <c r="G34">
        <v>95.742192438993555</v>
      </c>
      <c r="H34">
        <v>95.251383973137294</v>
      </c>
      <c r="I34">
        <v>96.08227924603429</v>
      </c>
      <c r="J34">
        <v>95.89</v>
      </c>
      <c r="K34">
        <v>91.93</v>
      </c>
      <c r="L34">
        <v>92.15</v>
      </c>
      <c r="M34">
        <v>93.43</v>
      </c>
      <c r="N34">
        <v>92.2</v>
      </c>
      <c r="O34">
        <v>97.21</v>
      </c>
      <c r="P34">
        <v>97.56</v>
      </c>
      <c r="Q34">
        <v>98.11</v>
      </c>
      <c r="R34">
        <v>98.321962476171365</v>
      </c>
      <c r="S34">
        <v>98.74372870982549</v>
      </c>
      <c r="T34">
        <v>98.569387094481996</v>
      </c>
      <c r="U34">
        <v>99.066356970442229</v>
      </c>
      <c r="V34">
        <v>98.23</v>
      </c>
      <c r="W34">
        <v>87.25</v>
      </c>
      <c r="X34">
        <v>91.25</v>
      </c>
      <c r="Y34">
        <v>93</v>
      </c>
      <c r="Z34">
        <v>93.18</v>
      </c>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98.07</v>
      </c>
      <c r="D35">
        <v>98.3</v>
      </c>
      <c r="E35">
        <v>98.62</v>
      </c>
      <c r="F35">
        <v>99.013116275146558</v>
      </c>
      <c r="G35">
        <v>98.432899035940451</v>
      </c>
      <c r="H35">
        <v>98.393815511595903</v>
      </c>
      <c r="I35">
        <v>97.702761786781309</v>
      </c>
      <c r="J35">
        <v>97.83</v>
      </c>
      <c r="K35">
        <v>96.97</v>
      </c>
      <c r="L35">
        <v>97.59</v>
      </c>
      <c r="M35">
        <v>97.63</v>
      </c>
      <c r="N35">
        <v>97.41</v>
      </c>
      <c r="O35">
        <v>95.33</v>
      </c>
      <c r="P35">
        <v>95</v>
      </c>
      <c r="Q35">
        <v>97.36</v>
      </c>
      <c r="R35">
        <v>94.458978157405355</v>
      </c>
      <c r="S35">
        <v>96.431563595742702</v>
      </c>
      <c r="T35">
        <v>95.395482108349398</v>
      </c>
      <c r="U35">
        <v>97.476373099575397</v>
      </c>
      <c r="V35">
        <v>97.26</v>
      </c>
      <c r="W35">
        <v>93.68</v>
      </c>
      <c r="X35">
        <v>96.63</v>
      </c>
      <c r="Y35">
        <v>98.13</v>
      </c>
      <c r="Z35">
        <v>98.05</v>
      </c>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97.66</v>
      </c>
      <c r="D36">
        <v>97.09</v>
      </c>
      <c r="E36">
        <v>96.92</v>
      </c>
      <c r="F36">
        <v>97.402020979124444</v>
      </c>
      <c r="G36">
        <v>97.047032365307516</v>
      </c>
      <c r="H36">
        <v>96.354684997594305</v>
      </c>
      <c r="I36">
        <v>96.46575934327069</v>
      </c>
      <c r="J36">
        <v>96.39</v>
      </c>
      <c r="K36">
        <v>94.94</v>
      </c>
      <c r="L36">
        <v>95.47</v>
      </c>
      <c r="M36">
        <v>95.53</v>
      </c>
      <c r="N36">
        <v>94.49</v>
      </c>
      <c r="O36">
        <v>98.32</v>
      </c>
      <c r="P36">
        <v>98.43</v>
      </c>
      <c r="Q36">
        <v>98.37</v>
      </c>
      <c r="R36">
        <v>98.188479169351425</v>
      </c>
      <c r="S36">
        <v>97.392883855112728</v>
      </c>
      <c r="T36">
        <v>97.257610997327006</v>
      </c>
      <c r="U36">
        <v>97.071720426535563</v>
      </c>
      <c r="V36">
        <v>96.8</v>
      </c>
      <c r="W36">
        <v>84.99</v>
      </c>
      <c r="X36">
        <v>93.51</v>
      </c>
      <c r="Y36">
        <v>95.71</v>
      </c>
      <c r="Z36">
        <v>95.85</v>
      </c>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96.55</v>
      </c>
      <c r="D37">
        <v>96.08</v>
      </c>
      <c r="E37">
        <v>96.47</v>
      </c>
      <c r="F37">
        <v>96.557960301973083</v>
      </c>
      <c r="G37">
        <v>96.893464888125536</v>
      </c>
      <c r="H37">
        <v>96.786682662939995</v>
      </c>
      <c r="I37">
        <v>96.822865097087174</v>
      </c>
      <c r="J37">
        <v>96.76</v>
      </c>
      <c r="K37">
        <v>95.2</v>
      </c>
      <c r="L37">
        <v>92.67</v>
      </c>
      <c r="M37">
        <v>92.35</v>
      </c>
      <c r="N37">
        <v>93.04</v>
      </c>
      <c r="O37">
        <v>97.72</v>
      </c>
      <c r="P37">
        <v>97.52</v>
      </c>
      <c r="Q37">
        <v>98.04</v>
      </c>
      <c r="R37">
        <v>97.901968149378419</v>
      </c>
      <c r="S37">
        <v>98.813301321167529</v>
      </c>
      <c r="T37">
        <v>97.929336169536697</v>
      </c>
      <c r="U37">
        <v>98.306523215125083</v>
      </c>
      <c r="V37">
        <v>98.34</v>
      </c>
      <c r="W37">
        <v>92.24</v>
      </c>
      <c r="X37">
        <v>91.25</v>
      </c>
      <c r="Y37">
        <v>94.84</v>
      </c>
      <c r="Z37">
        <v>96.73</v>
      </c>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98.95</v>
      </c>
      <c r="D38">
        <v>98.82</v>
      </c>
      <c r="E38">
        <v>98.82</v>
      </c>
      <c r="F38">
        <v>98.969072164948457</v>
      </c>
      <c r="G38">
        <v>98.95105883683452</v>
      </c>
      <c r="H38">
        <v>99.000894920325294</v>
      </c>
      <c r="I38">
        <v>98.966831157473919</v>
      </c>
      <c r="J38">
        <v>98.82</v>
      </c>
      <c r="K38">
        <v>98.8</v>
      </c>
      <c r="L38">
        <v>98.83</v>
      </c>
      <c r="M38">
        <v>98.87</v>
      </c>
      <c r="N38">
        <v>97.91</v>
      </c>
      <c r="O38">
        <v>99.09</v>
      </c>
      <c r="P38">
        <v>99.2</v>
      </c>
      <c r="Q38">
        <v>99.11</v>
      </c>
      <c r="R38">
        <v>99.171524002881654</v>
      </c>
      <c r="S38">
        <v>98.866162022870029</v>
      </c>
      <c r="T38">
        <v>99.335810344260594</v>
      </c>
      <c r="U38">
        <v>99.163206440774658</v>
      </c>
      <c r="V38">
        <v>99.07</v>
      </c>
      <c r="W38">
        <v>96.7</v>
      </c>
      <c r="X38">
        <v>99.41</v>
      </c>
      <c r="Y38">
        <v>98.44</v>
      </c>
      <c r="Z38">
        <v>97.47</v>
      </c>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97.79</v>
      </c>
      <c r="D39">
        <v>97.55</v>
      </c>
      <c r="E39">
        <v>97.7</v>
      </c>
      <c r="F39">
        <v>97.787595504594478</v>
      </c>
      <c r="G39">
        <v>97.928103710562866</v>
      </c>
      <c r="H39">
        <v>98.074990745147801</v>
      </c>
      <c r="I39">
        <v>97.996500305088674</v>
      </c>
      <c r="J39">
        <v>97.87</v>
      </c>
      <c r="K39">
        <v>96.53</v>
      </c>
      <c r="L39">
        <v>96.89</v>
      </c>
      <c r="M39">
        <v>97.12</v>
      </c>
      <c r="N39">
        <v>96.97</v>
      </c>
      <c r="O39">
        <v>98.73</v>
      </c>
      <c r="P39">
        <v>98.74</v>
      </c>
      <c r="Q39">
        <v>98.92</v>
      </c>
      <c r="R39">
        <v>99.050873640970423</v>
      </c>
      <c r="S39">
        <v>98.873297612354719</v>
      </c>
      <c r="T39">
        <v>98.665451757358895</v>
      </c>
      <c r="U39">
        <v>98.534040351232832</v>
      </c>
      <c r="V39">
        <v>98.12</v>
      </c>
      <c r="W39">
        <v>92.03</v>
      </c>
      <c r="X39">
        <v>95.51</v>
      </c>
      <c r="Y39">
        <v>97.47</v>
      </c>
      <c r="Z39">
        <v>97.27</v>
      </c>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98.72</v>
      </c>
      <c r="D40">
        <v>98.5</v>
      </c>
      <c r="E40">
        <v>98.29</v>
      </c>
      <c r="F40">
        <v>98.087368024808654</v>
      </c>
      <c r="G40">
        <v>97.895762465598878</v>
      </c>
      <c r="H40">
        <v>98.133935041834107</v>
      </c>
      <c r="I40">
        <v>98.414873407866466</v>
      </c>
      <c r="J40">
        <v>98.52</v>
      </c>
      <c r="K40">
        <v>98.07</v>
      </c>
      <c r="L40">
        <v>97.96</v>
      </c>
      <c r="M40">
        <v>97.69</v>
      </c>
      <c r="N40">
        <v>97.87</v>
      </c>
      <c r="O40">
        <v>97.26</v>
      </c>
      <c r="P40">
        <v>98.35</v>
      </c>
      <c r="Q40">
        <v>95.98</v>
      </c>
      <c r="R40">
        <v>97.009966777408636</v>
      </c>
      <c r="S40">
        <v>96.451168216040443</v>
      </c>
      <c r="T40">
        <v>94.197605241358502</v>
      </c>
      <c r="U40">
        <v>96.735395189003441</v>
      </c>
      <c r="V40">
        <v>97.54</v>
      </c>
      <c r="W40">
        <v>92.21</v>
      </c>
      <c r="X40">
        <v>95.08</v>
      </c>
      <c r="Y40">
        <v>94.43</v>
      </c>
      <c r="Z40">
        <v>97.27</v>
      </c>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98.15</v>
      </c>
      <c r="D41">
        <v>97.86</v>
      </c>
      <c r="E41">
        <v>98</v>
      </c>
      <c r="F41">
        <v>97.97344514325647</v>
      </c>
      <c r="G41">
        <v>97.00196463654224</v>
      </c>
      <c r="H41">
        <v>97.367736662208301</v>
      </c>
      <c r="I41">
        <v>97.573395687191478</v>
      </c>
      <c r="J41">
        <v>97.46</v>
      </c>
      <c r="K41">
        <v>96.62</v>
      </c>
      <c r="L41">
        <v>96.67</v>
      </c>
      <c r="M41">
        <v>97.2</v>
      </c>
      <c r="N41">
        <v>96.87</v>
      </c>
      <c r="O41">
        <v>98.94</v>
      </c>
      <c r="P41">
        <v>98.77</v>
      </c>
      <c r="Q41">
        <v>99.16</v>
      </c>
      <c r="R41">
        <v>99.598211082677636</v>
      </c>
      <c r="S41">
        <v>94.923881904491324</v>
      </c>
      <c r="T41">
        <v>98.3390232682017</v>
      </c>
      <c r="U41">
        <v>98.901928320997271</v>
      </c>
      <c r="V41">
        <v>98.41</v>
      </c>
      <c r="W41">
        <v>97.07</v>
      </c>
      <c r="X41">
        <v>97.44</v>
      </c>
      <c r="Y41">
        <v>96.15</v>
      </c>
      <c r="Z41">
        <v>97.06</v>
      </c>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98.36</v>
      </c>
      <c r="D42">
        <v>98.35</v>
      </c>
      <c r="E42">
        <v>98.35</v>
      </c>
      <c r="F42">
        <v>98.377575779524136</v>
      </c>
      <c r="G42">
        <v>98.467333194473369</v>
      </c>
      <c r="H42">
        <v>98.543367177649401</v>
      </c>
      <c r="I42">
        <v>98.468216274022581</v>
      </c>
      <c r="J42">
        <v>98.27</v>
      </c>
      <c r="K42">
        <v>97.03</v>
      </c>
      <c r="L42">
        <v>96.97</v>
      </c>
      <c r="M42">
        <v>97.42</v>
      </c>
      <c r="N42">
        <v>97.63</v>
      </c>
      <c r="O42">
        <v>97.3</v>
      </c>
      <c r="P42">
        <v>97.76</v>
      </c>
      <c r="Q42">
        <v>98.1</v>
      </c>
      <c r="R42">
        <v>98.652270167398143</v>
      </c>
      <c r="S42">
        <v>98.666304811382929</v>
      </c>
      <c r="T42">
        <v>98.756701266111506</v>
      </c>
      <c r="U42">
        <v>99.056463041694641</v>
      </c>
      <c r="V42">
        <v>98.62</v>
      </c>
      <c r="W42">
        <v>96.56</v>
      </c>
      <c r="X42">
        <v>97.42</v>
      </c>
      <c r="Y42">
        <v>98.77</v>
      </c>
      <c r="Z42">
        <v>97.71</v>
      </c>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t="s">
        <v>879</v>
      </c>
      <c r="D43" t="s">
        <v>879</v>
      </c>
      <c r="E43" t="s">
        <v>879</v>
      </c>
      <c r="F43" t="s">
        <v>879</v>
      </c>
      <c r="G43" t="s">
        <v>879</v>
      </c>
      <c r="H43" t="s">
        <v>879</v>
      </c>
      <c r="I43" t="s">
        <v>879</v>
      </c>
      <c r="J43" t="s">
        <v>879</v>
      </c>
      <c r="K43" t="s">
        <v>879</v>
      </c>
      <c r="L43">
        <v>97.53</v>
      </c>
      <c r="M43">
        <v>98.15</v>
      </c>
      <c r="N43">
        <v>98.46</v>
      </c>
      <c r="O43" t="s">
        <v>879</v>
      </c>
      <c r="P43" t="s">
        <v>879</v>
      </c>
      <c r="Q43" t="s">
        <v>879</v>
      </c>
      <c r="R43" t="s">
        <v>879</v>
      </c>
      <c r="S43" t="s">
        <v>879</v>
      </c>
      <c r="T43" t="s">
        <v>879</v>
      </c>
      <c r="U43" t="s">
        <v>879</v>
      </c>
      <c r="V43" t="s">
        <v>879</v>
      </c>
      <c r="W43" t="s">
        <v>879</v>
      </c>
      <c r="X43">
        <v>96.77</v>
      </c>
      <c r="Y43">
        <v>98.41</v>
      </c>
      <c r="Z43">
        <v>99.2</v>
      </c>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97.03</v>
      </c>
      <c r="D44">
        <v>95.74</v>
      </c>
      <c r="E44">
        <v>95.64</v>
      </c>
      <c r="F44">
        <v>95.239007305661204</v>
      </c>
      <c r="G44">
        <v>94.978604938908077</v>
      </c>
      <c r="H44">
        <v>94.568022612756494</v>
      </c>
      <c r="I44">
        <v>95.112337406385492</v>
      </c>
      <c r="J44">
        <v>94.69</v>
      </c>
      <c r="K44">
        <v>92.84</v>
      </c>
      <c r="L44">
        <v>92.79</v>
      </c>
      <c r="M44">
        <v>93.23</v>
      </c>
      <c r="N44">
        <v>93.74</v>
      </c>
      <c r="O44">
        <v>98.29</v>
      </c>
      <c r="P44">
        <v>96.23</v>
      </c>
      <c r="Q44">
        <v>97.35</v>
      </c>
      <c r="R44">
        <v>97.609658226096585</v>
      </c>
      <c r="S44">
        <v>97.472912262156456</v>
      </c>
      <c r="T44">
        <v>97.5022643349822</v>
      </c>
      <c r="U44">
        <v>95.516837683355135</v>
      </c>
      <c r="V44">
        <v>97.8</v>
      </c>
      <c r="W44">
        <v>93.84</v>
      </c>
      <c r="X44">
        <v>96.48</v>
      </c>
      <c r="Y44">
        <v>96.13</v>
      </c>
      <c r="Z44">
        <v>96.96</v>
      </c>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97.33</v>
      </c>
      <c r="D45">
        <v>96.95</v>
      </c>
      <c r="E45">
        <v>97.05</v>
      </c>
      <c r="F45">
        <v>97.055488451204184</v>
      </c>
      <c r="G45">
        <v>96.842919420615942</v>
      </c>
      <c r="H45">
        <v>96.621526384838006</v>
      </c>
      <c r="I45">
        <v>96.493552465233876</v>
      </c>
      <c r="J45">
        <v>96.15</v>
      </c>
      <c r="K45">
        <v>96.01</v>
      </c>
      <c r="L45">
        <v>95.77</v>
      </c>
      <c r="M45">
        <v>94.98</v>
      </c>
      <c r="N45">
        <v>95.25</v>
      </c>
      <c r="O45">
        <v>93.93</v>
      </c>
      <c r="P45">
        <v>94.26</v>
      </c>
      <c r="Q45">
        <v>95.08</v>
      </c>
      <c r="R45">
        <v>94.344428697284258</v>
      </c>
      <c r="S45">
        <v>94.872610868792009</v>
      </c>
      <c r="T45">
        <v>96.0393324453498</v>
      </c>
      <c r="U45">
        <v>96.227178963197161</v>
      </c>
      <c r="V45">
        <v>95.43</v>
      </c>
      <c r="W45">
        <v>87.62</v>
      </c>
      <c r="X45">
        <v>93.73</v>
      </c>
      <c r="Y45">
        <v>92.73</v>
      </c>
      <c r="Z45">
        <v>93.88</v>
      </c>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95.83</v>
      </c>
      <c r="D46">
        <v>95.5</v>
      </c>
      <c r="E46">
        <v>95.43</v>
      </c>
      <c r="F46">
        <v>96.890284128392366</v>
      </c>
      <c r="G46">
        <v>97.143691462438625</v>
      </c>
      <c r="H46">
        <v>96.971060435627294</v>
      </c>
      <c r="I46">
        <v>96.68229285768733</v>
      </c>
      <c r="J46">
        <v>96.34</v>
      </c>
      <c r="K46">
        <v>95.34</v>
      </c>
      <c r="L46">
        <v>95.67</v>
      </c>
      <c r="M46">
        <v>96.3</v>
      </c>
      <c r="N46">
        <v>95.86</v>
      </c>
      <c r="O46">
        <v>96.35</v>
      </c>
      <c r="P46">
        <v>95.97</v>
      </c>
      <c r="Q46">
        <v>96.44</v>
      </c>
      <c r="R46">
        <v>97.278522392938868</v>
      </c>
      <c r="S46">
        <v>97.297426347705667</v>
      </c>
      <c r="T46">
        <v>97.164493344199897</v>
      </c>
      <c r="U46">
        <v>97.341324984513392</v>
      </c>
      <c r="V46">
        <v>97.32</v>
      </c>
      <c r="W46">
        <v>93.25</v>
      </c>
      <c r="X46">
        <v>96.96</v>
      </c>
      <c r="Y46">
        <v>98.78</v>
      </c>
      <c r="Z46">
        <v>97.92</v>
      </c>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97.56</v>
      </c>
      <c r="D47">
        <v>97.54</v>
      </c>
      <c r="E47">
        <v>97.77</v>
      </c>
      <c r="F47">
        <v>97.592595527521127</v>
      </c>
      <c r="G47">
        <v>97.35024431441154</v>
      </c>
      <c r="H47">
        <v>97.652123995407507</v>
      </c>
      <c r="I47">
        <v>97.992751975822088</v>
      </c>
      <c r="J47">
        <v>97.61</v>
      </c>
      <c r="K47">
        <v>96.69</v>
      </c>
      <c r="L47">
        <v>97.23</v>
      </c>
      <c r="M47">
        <v>99.01</v>
      </c>
      <c r="N47">
        <v>99.27</v>
      </c>
      <c r="O47">
        <v>99.1</v>
      </c>
      <c r="P47">
        <v>99.16</v>
      </c>
      <c r="Q47">
        <v>99.24</v>
      </c>
      <c r="R47">
        <v>99.227814919428582</v>
      </c>
      <c r="S47">
        <v>99.151421861740957</v>
      </c>
      <c r="T47">
        <v>99.085174975470693</v>
      </c>
      <c r="U47">
        <v>98.671500828073945</v>
      </c>
      <c r="V47">
        <v>98.6</v>
      </c>
      <c r="W47">
        <v>98.34</v>
      </c>
      <c r="X47">
        <v>97.22</v>
      </c>
      <c r="Y47">
        <v>99.01</v>
      </c>
      <c r="Z47">
        <v>99.21</v>
      </c>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96.77</v>
      </c>
      <c r="D48">
        <v>96.25</v>
      </c>
      <c r="E48">
        <v>96.54</v>
      </c>
      <c r="F48">
        <v>96.256652463336593</v>
      </c>
      <c r="G48">
        <v>96.321563108001811</v>
      </c>
      <c r="H48">
        <v>96.352990579417295</v>
      </c>
      <c r="I48">
        <v>96.377496705800027</v>
      </c>
      <c r="J48">
        <v>95.35</v>
      </c>
      <c r="K48">
        <v>91</v>
      </c>
      <c r="L48">
        <v>94.15</v>
      </c>
      <c r="M48">
        <v>94</v>
      </c>
      <c r="N48">
        <v>94.08</v>
      </c>
      <c r="O48">
        <v>99.18</v>
      </c>
      <c r="P48">
        <v>99.37</v>
      </c>
      <c r="Q48">
        <v>99.78</v>
      </c>
      <c r="R48">
        <v>99.672919339366402</v>
      </c>
      <c r="S48">
        <v>99.009059214893398</v>
      </c>
      <c r="T48">
        <v>99.269951286494205</v>
      </c>
      <c r="U48">
        <v>99.526938688580145</v>
      </c>
      <c r="V48">
        <v>99</v>
      </c>
      <c r="W48">
        <v>92.45</v>
      </c>
      <c r="X48">
        <v>96.29</v>
      </c>
      <c r="Y48">
        <v>96.47</v>
      </c>
      <c r="Z48">
        <v>96.63</v>
      </c>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97.75</v>
      </c>
      <c r="D49">
        <v>96.03</v>
      </c>
      <c r="E49">
        <v>96.57</v>
      </c>
      <c r="F49">
        <v>97.490296294510472</v>
      </c>
      <c r="G49">
        <v>97.308622078968583</v>
      </c>
      <c r="H49">
        <v>97.398518390157193</v>
      </c>
      <c r="I49">
        <v>97.360567810622257</v>
      </c>
      <c r="J49">
        <v>97.06</v>
      </c>
      <c r="K49">
        <v>95.92</v>
      </c>
      <c r="L49">
        <v>96.2</v>
      </c>
      <c r="M49">
        <v>95.84</v>
      </c>
      <c r="N49">
        <v>96.76</v>
      </c>
      <c r="O49">
        <v>97.28</v>
      </c>
      <c r="P49">
        <v>96.04</v>
      </c>
      <c r="Q49">
        <v>97.18</v>
      </c>
      <c r="R49">
        <v>97.995587101576419</v>
      </c>
      <c r="S49">
        <v>98.147999679307304</v>
      </c>
      <c r="T49">
        <v>98.438823671789905</v>
      </c>
      <c r="U49">
        <v>98.921673184026545</v>
      </c>
      <c r="V49">
        <v>98.72</v>
      </c>
      <c r="W49">
        <v>95.58</v>
      </c>
      <c r="X49">
        <v>97.2</v>
      </c>
      <c r="Y49">
        <v>96.58</v>
      </c>
      <c r="Z49">
        <v>97.32</v>
      </c>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98.9</v>
      </c>
      <c r="D50">
        <v>98.72</v>
      </c>
      <c r="E50">
        <v>98.84</v>
      </c>
      <c r="F50">
        <v>98.660175534832689</v>
      </c>
      <c r="G50">
        <v>98.741883116883116</v>
      </c>
      <c r="H50">
        <v>98.519373495172104</v>
      </c>
      <c r="I50">
        <v>98.463515803002863</v>
      </c>
      <c r="J50">
        <v>98.05</v>
      </c>
      <c r="K50">
        <v>97.26</v>
      </c>
      <c r="L50">
        <v>97.45</v>
      </c>
      <c r="M50">
        <v>97.48</v>
      </c>
      <c r="N50">
        <v>96.51</v>
      </c>
      <c r="O50">
        <v>99.3</v>
      </c>
      <c r="P50">
        <v>99.58</v>
      </c>
      <c r="Q50">
        <v>100</v>
      </c>
      <c r="R50">
        <v>99.014026863117166</v>
      </c>
      <c r="S50">
        <v>99.551553289211952</v>
      </c>
      <c r="T50">
        <v>99.886342804766201</v>
      </c>
      <c r="U50">
        <v>99.396227791762428</v>
      </c>
      <c r="V50">
        <v>98.19</v>
      </c>
      <c r="W50">
        <v>93.88</v>
      </c>
      <c r="X50">
        <v>96.04</v>
      </c>
      <c r="Y50">
        <v>99.6</v>
      </c>
      <c r="Z50">
        <v>97.49</v>
      </c>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98.65</v>
      </c>
      <c r="D51">
        <v>97.97</v>
      </c>
      <c r="E51">
        <v>98.23</v>
      </c>
      <c r="F51">
        <v>98.118550618926051</v>
      </c>
      <c r="G51">
        <v>98.178794349540084</v>
      </c>
      <c r="H51">
        <v>98.335609254091693</v>
      </c>
      <c r="I51">
        <v>98.183624503261598</v>
      </c>
      <c r="J51">
        <v>97.95</v>
      </c>
      <c r="K51">
        <v>96.2</v>
      </c>
      <c r="L51">
        <v>97.21</v>
      </c>
      <c r="M51">
        <v>97.53</v>
      </c>
      <c r="N51">
        <v>97.51</v>
      </c>
      <c r="O51">
        <v>98.59</v>
      </c>
      <c r="P51">
        <v>98.55</v>
      </c>
      <c r="Q51">
        <v>98.41</v>
      </c>
      <c r="R51">
        <v>99.298820445609437</v>
      </c>
      <c r="S51">
        <v>98.937055772555553</v>
      </c>
      <c r="T51">
        <v>98.912746170678304</v>
      </c>
      <c r="U51">
        <v>99.022289074251333</v>
      </c>
      <c r="V51">
        <v>99.03</v>
      </c>
      <c r="W51">
        <v>95.76</v>
      </c>
      <c r="X51">
        <v>96.27</v>
      </c>
      <c r="Y51">
        <v>98.96</v>
      </c>
      <c r="Z51">
        <v>97.58</v>
      </c>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97.89</v>
      </c>
      <c r="D52">
        <v>97.4</v>
      </c>
      <c r="E52">
        <v>97.75</v>
      </c>
      <c r="F52">
        <v>97.802969502407706</v>
      </c>
      <c r="G52">
        <v>97.99907265399294</v>
      </c>
      <c r="H52">
        <v>97.9433467154103</v>
      </c>
      <c r="I52">
        <v>97.975531987540123</v>
      </c>
      <c r="J52">
        <v>97.84</v>
      </c>
      <c r="K52">
        <v>96.91</v>
      </c>
      <c r="L52">
        <v>97.37</v>
      </c>
      <c r="M52">
        <v>97.68</v>
      </c>
      <c r="N52">
        <v>97.55</v>
      </c>
      <c r="O52">
        <v>98.65</v>
      </c>
      <c r="P52">
        <v>98.52</v>
      </c>
      <c r="Q52">
        <v>98.95</v>
      </c>
      <c r="R52">
        <v>98.553552698977981</v>
      </c>
      <c r="S52">
        <v>99.036984385389687</v>
      </c>
      <c r="T52">
        <v>98.515496236875094</v>
      </c>
      <c r="U52">
        <v>99.411547126668694</v>
      </c>
      <c r="V52">
        <v>99.01</v>
      </c>
      <c r="W52">
        <v>96.45</v>
      </c>
      <c r="X52">
        <v>97.32</v>
      </c>
      <c r="Y52">
        <v>97.15</v>
      </c>
      <c r="Z52">
        <v>98.47</v>
      </c>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97.92</v>
      </c>
      <c r="D53">
        <v>97.73</v>
      </c>
      <c r="E53">
        <v>97.65</v>
      </c>
      <c r="F53">
        <v>97.68509279584913</v>
      </c>
      <c r="G53">
        <v>97.79351771925883</v>
      </c>
      <c r="H53">
        <v>97.744428067354505</v>
      </c>
      <c r="I53">
        <v>97.520062127879882</v>
      </c>
      <c r="J53">
        <v>97.63</v>
      </c>
      <c r="K53">
        <v>97.38</v>
      </c>
      <c r="L53">
        <v>97.21</v>
      </c>
      <c r="M53">
        <v>96.97</v>
      </c>
      <c r="N53">
        <v>96.76</v>
      </c>
      <c r="O53">
        <v>98.77</v>
      </c>
      <c r="P53">
        <v>98.14</v>
      </c>
      <c r="Q53">
        <v>98.31</v>
      </c>
      <c r="R53">
        <v>98.632742570712495</v>
      </c>
      <c r="S53">
        <v>98.790009490121648</v>
      </c>
      <c r="T53">
        <v>98.689215033199304</v>
      </c>
      <c r="U53">
        <v>98.595728674718941</v>
      </c>
      <c r="V53">
        <v>98.77</v>
      </c>
      <c r="W53">
        <v>95.66</v>
      </c>
      <c r="X53">
        <v>96.47</v>
      </c>
      <c r="Y53">
        <v>97.52</v>
      </c>
      <c r="Z53">
        <v>98.09</v>
      </c>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98.52</v>
      </c>
      <c r="D54">
        <v>98.14</v>
      </c>
      <c r="E54">
        <v>98</v>
      </c>
      <c r="F54">
        <v>98.061831779638695</v>
      </c>
      <c r="G54">
        <v>97.763135597444148</v>
      </c>
      <c r="H54">
        <v>97.575636335924401</v>
      </c>
      <c r="I54">
        <v>97.457156173813274</v>
      </c>
      <c r="J54">
        <v>97.21</v>
      </c>
      <c r="K54">
        <v>96.6</v>
      </c>
      <c r="L54">
        <v>96.93</v>
      </c>
      <c r="M54">
        <v>96.78</v>
      </c>
      <c r="N54">
        <v>96.59</v>
      </c>
      <c r="O54">
        <v>97.22</v>
      </c>
      <c r="P54">
        <v>97.21</v>
      </c>
      <c r="Q54">
        <v>96.77</v>
      </c>
      <c r="R54">
        <v>97.866166353971224</v>
      </c>
      <c r="S54">
        <v>97.651191539883229</v>
      </c>
      <c r="T54">
        <v>98.290587787103803</v>
      </c>
      <c r="U54">
        <v>97.525917522538279</v>
      </c>
      <c r="V54">
        <v>97.76</v>
      </c>
      <c r="W54">
        <v>94.96</v>
      </c>
      <c r="X54">
        <v>95.31</v>
      </c>
      <c r="Y54">
        <v>96.18</v>
      </c>
      <c r="Z54">
        <v>96.26</v>
      </c>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98.22</v>
      </c>
      <c r="D55">
        <v>98.1</v>
      </c>
      <c r="E55">
        <v>98.07</v>
      </c>
      <c r="F55">
        <v>98.16512246279872</v>
      </c>
      <c r="G55">
        <v>98.324802964172449</v>
      </c>
      <c r="H55">
        <v>98.295037796572103</v>
      </c>
      <c r="I55">
        <v>98.323919536812895</v>
      </c>
      <c r="J55">
        <v>97.88</v>
      </c>
      <c r="K55">
        <v>97.53</v>
      </c>
      <c r="L55">
        <v>98.31</v>
      </c>
      <c r="M55">
        <v>98.23</v>
      </c>
      <c r="N55">
        <v>98.32</v>
      </c>
      <c r="O55">
        <v>97.98</v>
      </c>
      <c r="P55">
        <v>98.4</v>
      </c>
      <c r="Q55">
        <v>98.12</v>
      </c>
      <c r="R55">
        <v>98.467269065568814</v>
      </c>
      <c r="S55">
        <v>98.862047606406506</v>
      </c>
      <c r="T55">
        <v>98.740196600305097</v>
      </c>
      <c r="U55">
        <v>98.828977953088682</v>
      </c>
      <c r="V55">
        <v>98.24</v>
      </c>
      <c r="W55">
        <v>90.72</v>
      </c>
      <c r="X55">
        <v>97.43</v>
      </c>
      <c r="Y55">
        <v>98.31</v>
      </c>
      <c r="Z55">
        <v>98.56</v>
      </c>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98.5</v>
      </c>
      <c r="D56">
        <v>98.24</v>
      </c>
      <c r="E56">
        <v>98.49</v>
      </c>
      <c r="F56">
        <v>99.056520920895807</v>
      </c>
      <c r="G56">
        <v>98.35053979116276</v>
      </c>
      <c r="H56">
        <v>97.867545846099105</v>
      </c>
      <c r="I56">
        <v>98.265079478807365</v>
      </c>
      <c r="J56">
        <v>98.03</v>
      </c>
      <c r="K56">
        <v>97.46</v>
      </c>
      <c r="L56">
        <v>98.07</v>
      </c>
      <c r="M56">
        <v>98.05</v>
      </c>
      <c r="N56">
        <v>98.02</v>
      </c>
      <c r="O56">
        <v>98.93</v>
      </c>
      <c r="P56">
        <v>99.22</v>
      </c>
      <c r="Q56">
        <v>99.46</v>
      </c>
      <c r="R56">
        <v>98.872081378801454</v>
      </c>
      <c r="S56">
        <v>98.889550384386411</v>
      </c>
      <c r="T56">
        <v>92.314041060559106</v>
      </c>
      <c r="U56">
        <v>98.449217327994177</v>
      </c>
      <c r="V56">
        <v>98.5</v>
      </c>
      <c r="W56">
        <v>97.61</v>
      </c>
      <c r="X56">
        <v>97.84</v>
      </c>
      <c r="Y56">
        <v>98.71</v>
      </c>
      <c r="Z56">
        <v>98.63</v>
      </c>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98.2</v>
      </c>
      <c r="D57">
        <v>98.05</v>
      </c>
      <c r="E57">
        <v>97.92</v>
      </c>
      <c r="F57">
        <v>98.056327606977874</v>
      </c>
      <c r="G57">
        <v>98.262390303553445</v>
      </c>
      <c r="H57">
        <v>98.238297656144098</v>
      </c>
      <c r="I57">
        <v>98.186297078950574</v>
      </c>
      <c r="J57">
        <v>97.91</v>
      </c>
      <c r="K57">
        <v>97.39</v>
      </c>
      <c r="L57">
        <v>97.8</v>
      </c>
      <c r="M57">
        <v>98.19</v>
      </c>
      <c r="N57">
        <v>97.94</v>
      </c>
      <c r="O57">
        <v>97.89</v>
      </c>
      <c r="P57">
        <v>98.2</v>
      </c>
      <c r="Q57">
        <v>98.12</v>
      </c>
      <c r="R57">
        <v>98.359884943024667</v>
      </c>
      <c r="S57">
        <v>97.668004348584688</v>
      </c>
      <c r="T57">
        <v>98.324753937350593</v>
      </c>
      <c r="U57">
        <v>98.454065121647886</v>
      </c>
      <c r="V57">
        <v>98.23</v>
      </c>
      <c r="W57">
        <v>92.39</v>
      </c>
      <c r="X57">
        <v>95.59</v>
      </c>
      <c r="Y57">
        <v>98.23</v>
      </c>
      <c r="Z57">
        <v>97.7</v>
      </c>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98.28</v>
      </c>
      <c r="D58">
        <v>97.64</v>
      </c>
      <c r="E58">
        <v>97.47</v>
      </c>
      <c r="F58">
        <v>97.747350821301879</v>
      </c>
      <c r="G58">
        <v>97.682161745498149</v>
      </c>
      <c r="H58">
        <v>97.325997304718697</v>
      </c>
      <c r="I58">
        <v>97.307797357243103</v>
      </c>
      <c r="J58">
        <v>97.23</v>
      </c>
      <c r="K58">
        <v>97</v>
      </c>
      <c r="L58">
        <v>96.83</v>
      </c>
      <c r="M58">
        <v>96.94</v>
      </c>
      <c r="N58">
        <v>96.98</v>
      </c>
      <c r="O58">
        <v>98.44</v>
      </c>
      <c r="P58">
        <v>98.43</v>
      </c>
      <c r="Q58">
        <v>97.45</v>
      </c>
      <c r="R58">
        <v>99.153568581634076</v>
      </c>
      <c r="S58">
        <v>98.324902952593817</v>
      </c>
      <c r="T58">
        <v>98.789060157140199</v>
      </c>
      <c r="U58">
        <v>98.417765190834189</v>
      </c>
      <c r="V58">
        <v>98.26</v>
      </c>
      <c r="W58">
        <v>94.15</v>
      </c>
      <c r="X58">
        <v>97.87</v>
      </c>
      <c r="Y58">
        <v>97.97</v>
      </c>
      <c r="Z58">
        <v>98.05</v>
      </c>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96.83</v>
      </c>
      <c r="D59">
        <v>96.59</v>
      </c>
      <c r="E59">
        <v>96.5</v>
      </c>
      <c r="F59">
        <v>97.210354940766237</v>
      </c>
      <c r="G59">
        <v>97.219768571680945</v>
      </c>
      <c r="H59">
        <v>96.899224806201502</v>
      </c>
      <c r="I59">
        <v>96.836040232077252</v>
      </c>
      <c r="J59">
        <v>96.73</v>
      </c>
      <c r="K59">
        <v>95.46</v>
      </c>
      <c r="L59">
        <v>95.51</v>
      </c>
      <c r="M59">
        <v>96.05</v>
      </c>
      <c r="N59">
        <v>96.31</v>
      </c>
      <c r="O59">
        <v>97.46</v>
      </c>
      <c r="P59">
        <v>97.72</v>
      </c>
      <c r="Q59">
        <v>97.4</v>
      </c>
      <c r="R59">
        <v>97.963904354608786</v>
      </c>
      <c r="S59">
        <v>97.915367020170521</v>
      </c>
      <c r="T59">
        <v>98.081622999500595</v>
      </c>
      <c r="U59">
        <v>97.300598205383849</v>
      </c>
      <c r="V59">
        <v>98.24</v>
      </c>
      <c r="W59">
        <v>94.71</v>
      </c>
      <c r="X59">
        <v>97.05</v>
      </c>
      <c r="Y59">
        <v>97.26</v>
      </c>
      <c r="Z59">
        <v>97.28</v>
      </c>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98.2</v>
      </c>
      <c r="D60">
        <v>98.12</v>
      </c>
      <c r="E60">
        <v>98.12</v>
      </c>
      <c r="F60">
        <v>98.259923158626293</v>
      </c>
      <c r="G60">
        <v>98.334826762246124</v>
      </c>
      <c r="H60">
        <v>98.363479758828504</v>
      </c>
      <c r="I60">
        <v>97.818391646415222</v>
      </c>
      <c r="J60">
        <v>97.65</v>
      </c>
      <c r="K60">
        <v>97.17</v>
      </c>
      <c r="L60">
        <v>97.79</v>
      </c>
      <c r="M60">
        <v>97.62</v>
      </c>
      <c r="N60">
        <v>97.71</v>
      </c>
      <c r="O60">
        <v>97.71</v>
      </c>
      <c r="P60">
        <v>98</v>
      </c>
      <c r="Q60">
        <v>98.08</v>
      </c>
      <c r="R60">
        <v>98.196641410784707</v>
      </c>
      <c r="S60">
        <v>97.704575618459131</v>
      </c>
      <c r="T60">
        <v>97.819117522989899</v>
      </c>
      <c r="U60">
        <v>97.206692635275587</v>
      </c>
      <c r="V60">
        <v>97.05</v>
      </c>
      <c r="W60">
        <v>95.59</v>
      </c>
      <c r="X60">
        <v>97.12</v>
      </c>
      <c r="Y60">
        <v>97.19</v>
      </c>
      <c r="Z60">
        <v>97.6</v>
      </c>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98.14</v>
      </c>
      <c r="D61">
        <v>97.65</v>
      </c>
      <c r="E61">
        <v>97.81</v>
      </c>
      <c r="F61">
        <v>97.863420733276953</v>
      </c>
      <c r="G61">
        <v>98.022584079445693</v>
      </c>
      <c r="H61">
        <v>98.163346349857704</v>
      </c>
      <c r="I61">
        <v>98.140776399432212</v>
      </c>
      <c r="J61">
        <v>97.88</v>
      </c>
      <c r="K61">
        <v>96.98</v>
      </c>
      <c r="L61">
        <v>97.15</v>
      </c>
      <c r="M61">
        <v>97.19</v>
      </c>
      <c r="N61">
        <v>96.9</v>
      </c>
      <c r="O61">
        <v>97.08</v>
      </c>
      <c r="P61">
        <v>97.08</v>
      </c>
      <c r="Q61">
        <v>97.95</v>
      </c>
      <c r="R61">
        <v>97.606866952789701</v>
      </c>
      <c r="S61">
        <v>97.911903160726297</v>
      </c>
      <c r="T61">
        <v>98.927935458080398</v>
      </c>
      <c r="U61">
        <v>98.661995453020751</v>
      </c>
      <c r="V61">
        <v>98.15</v>
      </c>
      <c r="W61">
        <v>96.35</v>
      </c>
      <c r="X61">
        <v>97.43</v>
      </c>
      <c r="Y61">
        <v>97.73</v>
      </c>
      <c r="Z61">
        <v>97.98</v>
      </c>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99.45</v>
      </c>
      <c r="D62">
        <v>98.25</v>
      </c>
      <c r="E62">
        <v>99.13</v>
      </c>
      <c r="F62">
        <v>98.95213820447465</v>
      </c>
      <c r="G62">
        <v>98.9</v>
      </c>
      <c r="H62">
        <v>98.281738142573104</v>
      </c>
      <c r="I62">
        <v>98.340193865356525</v>
      </c>
      <c r="J62">
        <v>97.84</v>
      </c>
      <c r="K62">
        <v>94.39</v>
      </c>
      <c r="L62">
        <v>96.27</v>
      </c>
      <c r="M62">
        <v>96.76</v>
      </c>
      <c r="N62">
        <v>97.58</v>
      </c>
      <c r="O62">
        <v>98.62</v>
      </c>
      <c r="P62">
        <v>98.89</v>
      </c>
      <c r="Q62">
        <v>99.09</v>
      </c>
      <c r="R62">
        <v>98.619967130917345</v>
      </c>
      <c r="S62">
        <v>99.287698745489649</v>
      </c>
      <c r="T62">
        <v>99.518784198675107</v>
      </c>
      <c r="U62">
        <v>99.411135725285348</v>
      </c>
      <c r="V62">
        <v>99.56</v>
      </c>
      <c r="W62">
        <v>97.37</v>
      </c>
      <c r="X62">
        <v>97.63</v>
      </c>
      <c r="Y62">
        <v>98.93</v>
      </c>
      <c r="Z62">
        <v>99.82</v>
      </c>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97.85</v>
      </c>
      <c r="D63">
        <v>97.31</v>
      </c>
      <c r="E63">
        <v>97.35</v>
      </c>
      <c r="F63">
        <v>97.590962506374581</v>
      </c>
      <c r="G63">
        <v>97.84724426108113</v>
      </c>
      <c r="H63">
        <v>97.848344103392506</v>
      </c>
      <c r="I63">
        <v>97.910063672573486</v>
      </c>
      <c r="J63">
        <v>97.8</v>
      </c>
      <c r="K63">
        <v>97.82</v>
      </c>
      <c r="L63">
        <v>97.92</v>
      </c>
      <c r="M63">
        <v>97.81</v>
      </c>
      <c r="N63">
        <v>97.63</v>
      </c>
      <c r="O63">
        <v>97.87</v>
      </c>
      <c r="P63">
        <v>97.65</v>
      </c>
      <c r="Q63">
        <v>97.51</v>
      </c>
      <c r="R63">
        <v>98.281561876247508</v>
      </c>
      <c r="S63">
        <v>98.485789130994377</v>
      </c>
      <c r="T63">
        <v>99.140906769035396</v>
      </c>
      <c r="U63">
        <v>99.360328284352178</v>
      </c>
      <c r="V63">
        <v>98.7</v>
      </c>
      <c r="W63">
        <v>90.36</v>
      </c>
      <c r="X63">
        <v>96.25</v>
      </c>
      <c r="Y63">
        <v>98.01</v>
      </c>
      <c r="Z63">
        <v>97.81</v>
      </c>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97.8</v>
      </c>
      <c r="D64">
        <v>97.13</v>
      </c>
      <c r="E64">
        <v>97.31</v>
      </c>
      <c r="F64">
        <v>97.232805362839045</v>
      </c>
      <c r="G64">
        <v>97.447334846168076</v>
      </c>
      <c r="H64">
        <v>97.484456755924896</v>
      </c>
      <c r="I64">
        <v>97.457639377081136</v>
      </c>
      <c r="J64">
        <v>97.29</v>
      </c>
      <c r="K64">
        <v>96.85</v>
      </c>
      <c r="L64">
        <v>97.24</v>
      </c>
      <c r="M64">
        <v>97.21</v>
      </c>
      <c r="N64">
        <v>97</v>
      </c>
      <c r="O64">
        <v>96.91</v>
      </c>
      <c r="P64">
        <v>96.79</v>
      </c>
      <c r="Q64">
        <v>97.16</v>
      </c>
      <c r="R64">
        <v>97.510451230714438</v>
      </c>
      <c r="S64">
        <v>98.050114005431126</v>
      </c>
      <c r="T64">
        <v>97.954759249683804</v>
      </c>
      <c r="U64">
        <v>97.753285804355201</v>
      </c>
      <c r="V64">
        <v>97.73</v>
      </c>
      <c r="W64">
        <v>94.28</v>
      </c>
      <c r="X64">
        <v>97.31</v>
      </c>
      <c r="Y64">
        <v>97.61</v>
      </c>
      <c r="Z64">
        <v>97.69</v>
      </c>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98.9</v>
      </c>
      <c r="D65">
        <v>98.9</v>
      </c>
      <c r="E65">
        <v>98.81</v>
      </c>
      <c r="F65">
        <v>98.904968134924829</v>
      </c>
      <c r="G65">
        <v>99.343803607414685</v>
      </c>
      <c r="H65">
        <v>99.115848879134603</v>
      </c>
      <c r="I65">
        <v>98.817977329863709</v>
      </c>
      <c r="J65">
        <v>98.84</v>
      </c>
      <c r="K65">
        <v>97.11</v>
      </c>
      <c r="L65">
        <v>96.08</v>
      </c>
      <c r="M65">
        <v>97.97</v>
      </c>
      <c r="N65">
        <v>98.32</v>
      </c>
      <c r="O65">
        <v>98.21</v>
      </c>
      <c r="P65">
        <v>98.29</v>
      </c>
      <c r="Q65">
        <v>98.24</v>
      </c>
      <c r="R65">
        <v>98.289695248786614</v>
      </c>
      <c r="S65">
        <v>97.341653666146641</v>
      </c>
      <c r="T65">
        <v>98.731667401019706</v>
      </c>
      <c r="U65">
        <v>97.986758141346357</v>
      </c>
      <c r="V65">
        <v>97.7</v>
      </c>
      <c r="W65">
        <v>90.97</v>
      </c>
      <c r="X65">
        <v>91.1</v>
      </c>
      <c r="Y65">
        <v>94.07</v>
      </c>
      <c r="Z65">
        <v>96.91</v>
      </c>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95.89</v>
      </c>
      <c r="D66">
        <v>95.59</v>
      </c>
      <c r="E66">
        <v>95.45</v>
      </c>
      <c r="F66">
        <v>95.794198321004075</v>
      </c>
      <c r="G66">
        <v>95.835183512226493</v>
      </c>
      <c r="H66">
        <v>95.910580322497097</v>
      </c>
      <c r="I66">
        <v>95.690175208118291</v>
      </c>
      <c r="J66">
        <v>95.51</v>
      </c>
      <c r="K66">
        <v>94.35</v>
      </c>
      <c r="L66">
        <v>94.05</v>
      </c>
      <c r="M66">
        <v>94.31</v>
      </c>
      <c r="N66">
        <v>93.65</v>
      </c>
      <c r="O66">
        <v>97.96</v>
      </c>
      <c r="P66">
        <v>97.79</v>
      </c>
      <c r="Q66">
        <v>96.86</v>
      </c>
      <c r="R66">
        <v>97.836289487312271</v>
      </c>
      <c r="S66">
        <v>97.844291319743519</v>
      </c>
      <c r="T66">
        <v>98.188806614933597</v>
      </c>
      <c r="U66">
        <v>98.17852980185684</v>
      </c>
      <c r="V66">
        <v>97.99</v>
      </c>
      <c r="W66">
        <v>91.29</v>
      </c>
      <c r="X66">
        <v>95.69</v>
      </c>
      <c r="Y66">
        <v>98.03</v>
      </c>
      <c r="Z66">
        <v>95.62</v>
      </c>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98.51</v>
      </c>
      <c r="D67">
        <v>98.25</v>
      </c>
      <c r="E67">
        <v>98.37</v>
      </c>
      <c r="F67">
        <v>98.640580879386846</v>
      </c>
      <c r="G67">
        <v>98.630320934604541</v>
      </c>
      <c r="H67">
        <v>98.578017610704904</v>
      </c>
      <c r="I67">
        <v>98.32310558793867</v>
      </c>
      <c r="J67">
        <v>98.08</v>
      </c>
      <c r="K67">
        <v>96.63</v>
      </c>
      <c r="L67">
        <v>97.56</v>
      </c>
      <c r="M67">
        <v>97.57</v>
      </c>
      <c r="N67">
        <v>97.06</v>
      </c>
      <c r="O67">
        <v>98.15</v>
      </c>
      <c r="P67">
        <v>98.91</v>
      </c>
      <c r="Q67">
        <v>98.81</v>
      </c>
      <c r="R67">
        <v>98.889575883158983</v>
      </c>
      <c r="S67">
        <v>98.283918455113096</v>
      </c>
      <c r="T67">
        <v>99.078255838248694</v>
      </c>
      <c r="U67">
        <v>98.750906977288508</v>
      </c>
      <c r="V67">
        <v>99.11</v>
      </c>
      <c r="W67">
        <v>97</v>
      </c>
      <c r="X67">
        <v>98.24</v>
      </c>
      <c r="Y67">
        <v>98.18</v>
      </c>
      <c r="Z67">
        <v>98.29</v>
      </c>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96.55</v>
      </c>
      <c r="D68">
        <v>96.21</v>
      </c>
      <c r="E68">
        <v>97.06</v>
      </c>
      <c r="F68">
        <v>96.954941901279909</v>
      </c>
      <c r="G68">
        <v>97.272722375742688</v>
      </c>
      <c r="H68">
        <v>97.356683055400595</v>
      </c>
      <c r="I68">
        <v>97.182409649997624</v>
      </c>
      <c r="J68">
        <v>97.12</v>
      </c>
      <c r="K68">
        <v>95.61</v>
      </c>
      <c r="L68">
        <v>95.78</v>
      </c>
      <c r="M68">
        <v>95.88</v>
      </c>
      <c r="N68">
        <v>94.6</v>
      </c>
      <c r="O68">
        <v>97.17</v>
      </c>
      <c r="P68">
        <v>98.09</v>
      </c>
      <c r="Q68">
        <v>98.59</v>
      </c>
      <c r="R68">
        <v>98.604381849300495</v>
      </c>
      <c r="S68">
        <v>99.922244153358449</v>
      </c>
      <c r="T68">
        <v>98.954109385817404</v>
      </c>
      <c r="U68">
        <v>99.971936607915438</v>
      </c>
      <c r="V68">
        <v>99.1</v>
      </c>
      <c r="W68">
        <v>95.54</v>
      </c>
      <c r="X68">
        <v>99.37</v>
      </c>
      <c r="Y68">
        <v>99.39</v>
      </c>
      <c r="Z68">
        <v>99.7</v>
      </c>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t="s">
        <v>879</v>
      </c>
      <c r="D69" t="s">
        <v>879</v>
      </c>
      <c r="E69" t="s">
        <v>879</v>
      </c>
      <c r="F69" t="s">
        <v>879</v>
      </c>
      <c r="G69" t="s">
        <v>879</v>
      </c>
      <c r="H69" t="s">
        <v>879</v>
      </c>
      <c r="I69" t="s">
        <v>879</v>
      </c>
      <c r="J69" t="s">
        <v>879</v>
      </c>
      <c r="K69" t="s">
        <v>879</v>
      </c>
      <c r="L69" t="s">
        <v>879</v>
      </c>
      <c r="M69" t="s">
        <v>879</v>
      </c>
      <c r="N69">
        <v>96.26</v>
      </c>
      <c r="O69" t="s">
        <v>879</v>
      </c>
      <c r="P69" t="s">
        <v>879</v>
      </c>
      <c r="Q69" t="s">
        <v>879</v>
      </c>
      <c r="R69" t="s">
        <v>879</v>
      </c>
      <c r="S69" t="s">
        <v>879</v>
      </c>
      <c r="T69" t="s">
        <v>879</v>
      </c>
      <c r="U69" t="s">
        <v>879</v>
      </c>
      <c r="V69" t="s">
        <v>879</v>
      </c>
      <c r="W69" t="s">
        <v>879</v>
      </c>
      <c r="X69" t="s">
        <v>879</v>
      </c>
      <c r="Y69" t="s">
        <v>879</v>
      </c>
      <c r="Z69">
        <v>97.59</v>
      </c>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97.79</v>
      </c>
      <c r="D70">
        <v>97.74</v>
      </c>
      <c r="E70">
        <v>97.69</v>
      </c>
      <c r="F70">
        <v>97.960552797531193</v>
      </c>
      <c r="G70">
        <v>98.362890634103138</v>
      </c>
      <c r="H70">
        <v>98.446702407556202</v>
      </c>
      <c r="I70">
        <v>98.26999958784981</v>
      </c>
      <c r="J70">
        <v>97.99</v>
      </c>
      <c r="K70">
        <v>96.83</v>
      </c>
      <c r="L70">
        <v>97.21</v>
      </c>
      <c r="M70">
        <v>97.39</v>
      </c>
      <c r="N70">
        <v>97.14</v>
      </c>
      <c r="O70">
        <v>98.49</v>
      </c>
      <c r="P70">
        <v>98.07</v>
      </c>
      <c r="Q70">
        <v>98.07</v>
      </c>
      <c r="R70">
        <v>98.284192269573836</v>
      </c>
      <c r="S70">
        <v>97.866859980874239</v>
      </c>
      <c r="T70">
        <v>98.27460245908</v>
      </c>
      <c r="U70">
        <v>98.103609162878897</v>
      </c>
      <c r="V70">
        <v>98.6</v>
      </c>
      <c r="W70">
        <v>93.5</v>
      </c>
      <c r="X70">
        <v>95.06</v>
      </c>
      <c r="Y70">
        <v>95.99</v>
      </c>
      <c r="Z70">
        <v>97.62</v>
      </c>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95.94</v>
      </c>
      <c r="D71">
        <v>95.24</v>
      </c>
      <c r="E71">
        <v>95.19</v>
      </c>
      <c r="F71">
        <v>95.171727227476353</v>
      </c>
      <c r="G71">
        <v>95.808097857383984</v>
      </c>
      <c r="H71">
        <v>95.601518523366906</v>
      </c>
      <c r="I71">
        <v>96.022222609240842</v>
      </c>
      <c r="J71">
        <v>96.24</v>
      </c>
      <c r="K71">
        <v>95.75</v>
      </c>
      <c r="L71">
        <v>94.87</v>
      </c>
      <c r="M71">
        <v>96.09</v>
      </c>
      <c r="N71">
        <v>96.39</v>
      </c>
      <c r="O71">
        <v>95.76</v>
      </c>
      <c r="P71">
        <v>96.95</v>
      </c>
      <c r="Q71">
        <v>97.99</v>
      </c>
      <c r="R71">
        <v>98.403707518022657</v>
      </c>
      <c r="S71">
        <v>97.90746466431095</v>
      </c>
      <c r="T71">
        <v>98.884822637812206</v>
      </c>
      <c r="U71">
        <v>97.668673330304415</v>
      </c>
      <c r="V71">
        <v>99.38</v>
      </c>
      <c r="W71">
        <v>97.05</v>
      </c>
      <c r="X71">
        <v>98.08</v>
      </c>
      <c r="Y71">
        <v>99.79</v>
      </c>
      <c r="Z71">
        <v>99.97</v>
      </c>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97.33</v>
      </c>
      <c r="D72">
        <v>97.06</v>
      </c>
      <c r="E72">
        <v>97.14</v>
      </c>
      <c r="F72">
        <v>97.305565584205823</v>
      </c>
      <c r="G72">
        <v>97.172879659744808</v>
      </c>
      <c r="H72">
        <v>97.025495750708203</v>
      </c>
      <c r="I72">
        <v>96.923100627089653</v>
      </c>
      <c r="J72">
        <v>96.86</v>
      </c>
      <c r="K72">
        <v>95.89</v>
      </c>
      <c r="L72">
        <v>96.33</v>
      </c>
      <c r="M72">
        <v>96.49</v>
      </c>
      <c r="N72">
        <v>96.23</v>
      </c>
      <c r="O72">
        <v>98.83</v>
      </c>
      <c r="P72">
        <v>98.59</v>
      </c>
      <c r="Q72">
        <v>97.87</v>
      </c>
      <c r="R72">
        <v>98.830733731224072</v>
      </c>
      <c r="S72">
        <v>98.898607778306115</v>
      </c>
      <c r="T72">
        <v>98.9199868291076</v>
      </c>
      <c r="U72">
        <v>98.574286079073929</v>
      </c>
      <c r="V72">
        <v>97.37</v>
      </c>
      <c r="W72">
        <v>90.59</v>
      </c>
      <c r="X72">
        <v>93.42</v>
      </c>
      <c r="Y72">
        <v>96.79</v>
      </c>
      <c r="Z72">
        <v>96.46</v>
      </c>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94.8</v>
      </c>
      <c r="D73">
        <v>93.3</v>
      </c>
      <c r="E73">
        <v>93.57</v>
      </c>
      <c r="F73">
        <v>93.797169561673712</v>
      </c>
      <c r="G73">
        <v>94.087600819680404</v>
      </c>
      <c r="H73">
        <v>94.143128132048503</v>
      </c>
      <c r="I73">
        <v>94.086116147657862</v>
      </c>
      <c r="J73">
        <v>93.62</v>
      </c>
      <c r="K73">
        <v>92.25</v>
      </c>
      <c r="L73">
        <v>92.57</v>
      </c>
      <c r="M73">
        <v>93.1</v>
      </c>
      <c r="N73">
        <v>93.24</v>
      </c>
      <c r="O73">
        <v>95.93</v>
      </c>
      <c r="P73">
        <v>95.32</v>
      </c>
      <c r="Q73">
        <v>96.77</v>
      </c>
      <c r="R73">
        <v>96.881312022481779</v>
      </c>
      <c r="S73">
        <v>96.066711655258842</v>
      </c>
      <c r="T73">
        <v>96.777484068398905</v>
      </c>
      <c r="U73">
        <v>97.045969482534602</v>
      </c>
      <c r="V73">
        <v>96.85</v>
      </c>
      <c r="W73">
        <v>90.22</v>
      </c>
      <c r="X73">
        <v>95.95</v>
      </c>
      <c r="Y73">
        <v>96.34</v>
      </c>
      <c r="Z73">
        <v>95.07</v>
      </c>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98.39</v>
      </c>
      <c r="D74">
        <v>98.27</v>
      </c>
      <c r="E74">
        <v>98.14</v>
      </c>
      <c r="F74">
        <v>98.100275482093664</v>
      </c>
      <c r="G74">
        <v>98.662440570522975</v>
      </c>
      <c r="H74">
        <v>98.805885567406705</v>
      </c>
      <c r="I74">
        <v>98.68845533451109</v>
      </c>
      <c r="J74">
        <v>98.52</v>
      </c>
      <c r="K74">
        <v>97.51</v>
      </c>
      <c r="L74">
        <v>98.08</v>
      </c>
      <c r="M74">
        <v>97.76</v>
      </c>
      <c r="N74">
        <v>97.82</v>
      </c>
      <c r="O74">
        <v>97.54</v>
      </c>
      <c r="P74">
        <v>97.64</v>
      </c>
      <c r="Q74">
        <v>97.36</v>
      </c>
      <c r="R74">
        <v>97.581475128644939</v>
      </c>
      <c r="S74">
        <v>97.727644270067032</v>
      </c>
      <c r="T74">
        <v>97.923162583518902</v>
      </c>
      <c r="U74">
        <v>98.069970225435981</v>
      </c>
      <c r="V74">
        <v>97.59</v>
      </c>
      <c r="W74">
        <v>92.16</v>
      </c>
      <c r="X74">
        <v>97.9</v>
      </c>
      <c r="Y74">
        <v>97</v>
      </c>
      <c r="Z74">
        <v>97.31</v>
      </c>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94.9</v>
      </c>
      <c r="D75">
        <v>93.83</v>
      </c>
      <c r="E75">
        <v>93.93</v>
      </c>
      <c r="F75">
        <v>94.11342690531815</v>
      </c>
      <c r="G75">
        <v>94.649871680720693</v>
      </c>
      <c r="H75">
        <v>94.798151409178402</v>
      </c>
      <c r="I75">
        <v>94.65719459967822</v>
      </c>
      <c r="J75">
        <v>94.74</v>
      </c>
      <c r="K75">
        <v>93.44</v>
      </c>
      <c r="L75">
        <v>94.56</v>
      </c>
      <c r="M75">
        <v>94.38</v>
      </c>
      <c r="N75">
        <v>94.01</v>
      </c>
      <c r="O75">
        <v>96.43</v>
      </c>
      <c r="P75">
        <v>96.11</v>
      </c>
      <c r="Q75">
        <v>96.5</v>
      </c>
      <c r="R75">
        <v>96.01579658290629</v>
      </c>
      <c r="S75">
        <v>96.958936538286451</v>
      </c>
      <c r="T75">
        <v>97.307904642409</v>
      </c>
      <c r="U75">
        <v>97.822457214414911</v>
      </c>
      <c r="V75">
        <v>97.22</v>
      </c>
      <c r="W75">
        <v>92.64</v>
      </c>
      <c r="X75">
        <v>96.91</v>
      </c>
      <c r="Y75">
        <v>97.25</v>
      </c>
      <c r="Z75">
        <v>96.98</v>
      </c>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t="s">
        <v>879</v>
      </c>
      <c r="D76" t="s">
        <v>879</v>
      </c>
      <c r="E76" t="s">
        <v>879</v>
      </c>
      <c r="F76" t="s">
        <v>879</v>
      </c>
      <c r="G76" t="s">
        <v>879</v>
      </c>
      <c r="H76" t="s">
        <v>879</v>
      </c>
      <c r="I76" t="s">
        <v>879</v>
      </c>
      <c r="J76">
        <v>97.94</v>
      </c>
      <c r="K76">
        <v>95.15</v>
      </c>
      <c r="L76">
        <v>95.96</v>
      </c>
      <c r="M76">
        <v>96.09</v>
      </c>
      <c r="N76">
        <v>96.23</v>
      </c>
      <c r="O76" t="s">
        <v>879</v>
      </c>
      <c r="P76" t="s">
        <v>879</v>
      </c>
      <c r="Q76" t="s">
        <v>879</v>
      </c>
      <c r="R76" t="s">
        <v>879</v>
      </c>
      <c r="S76" t="s">
        <v>879</v>
      </c>
      <c r="T76" t="s">
        <v>879</v>
      </c>
      <c r="U76" t="s">
        <v>879</v>
      </c>
      <c r="V76">
        <v>97.67</v>
      </c>
      <c r="W76">
        <v>88.34</v>
      </c>
      <c r="X76">
        <v>93.24</v>
      </c>
      <c r="Y76">
        <v>92.07</v>
      </c>
      <c r="Z76">
        <v>96.17</v>
      </c>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98.02</v>
      </c>
      <c r="D77">
        <v>97.74</v>
      </c>
      <c r="E77">
        <v>97.86</v>
      </c>
      <c r="F77">
        <v>97.919524055503103</v>
      </c>
      <c r="G77">
        <v>97.993085420355854</v>
      </c>
      <c r="H77">
        <v>97.868722186903994</v>
      </c>
      <c r="I77">
        <v>97.65466380031053</v>
      </c>
      <c r="J77">
        <v>97.23</v>
      </c>
      <c r="K77">
        <v>96.87</v>
      </c>
      <c r="L77">
        <v>96.98</v>
      </c>
      <c r="M77">
        <v>97.16</v>
      </c>
      <c r="N77">
        <v>96.48</v>
      </c>
      <c r="O77">
        <v>95.83</v>
      </c>
      <c r="P77">
        <v>98.17</v>
      </c>
      <c r="Q77">
        <v>98.83</v>
      </c>
      <c r="R77">
        <v>99.308902956036931</v>
      </c>
      <c r="S77">
        <v>98.854299928926793</v>
      </c>
      <c r="T77">
        <v>99.021933987134801</v>
      </c>
      <c r="U77">
        <v>98.207817865374665</v>
      </c>
      <c r="V77">
        <v>99.2</v>
      </c>
      <c r="W77">
        <v>97.13</v>
      </c>
      <c r="X77">
        <v>98.07</v>
      </c>
      <c r="Y77">
        <v>98.38</v>
      </c>
      <c r="Z77">
        <v>95.61</v>
      </c>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98.04</v>
      </c>
      <c r="D78">
        <v>97.76</v>
      </c>
      <c r="E78">
        <v>97.65</v>
      </c>
      <c r="F78">
        <v>97.170644665477084</v>
      </c>
      <c r="G78">
        <v>97.133381303294215</v>
      </c>
      <c r="H78">
        <v>97.010308468960702</v>
      </c>
      <c r="I78">
        <v>96.816587488345249</v>
      </c>
      <c r="J78">
        <v>97.12</v>
      </c>
      <c r="K78">
        <v>96.41</v>
      </c>
      <c r="L78">
        <v>96.02</v>
      </c>
      <c r="M78">
        <v>96.41</v>
      </c>
      <c r="N78">
        <v>96.46</v>
      </c>
      <c r="O78">
        <v>97.15</v>
      </c>
      <c r="P78">
        <v>97.16</v>
      </c>
      <c r="Q78">
        <v>97.42</v>
      </c>
      <c r="R78">
        <v>96.674177465564185</v>
      </c>
      <c r="S78">
        <v>95.685228872192368</v>
      </c>
      <c r="T78">
        <v>96.165396659149906</v>
      </c>
      <c r="U78">
        <v>97.516480647477323</v>
      </c>
      <c r="V78">
        <v>97.03</v>
      </c>
      <c r="W78">
        <v>93.58</v>
      </c>
      <c r="X78">
        <v>95.93</v>
      </c>
      <c r="Y78">
        <v>97.48</v>
      </c>
      <c r="Z78">
        <v>96.36</v>
      </c>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95</v>
      </c>
      <c r="D79">
        <v>95.44</v>
      </c>
      <c r="E79">
        <v>95.8</v>
      </c>
      <c r="F79">
        <v>96.317041322822732</v>
      </c>
      <c r="G79">
        <v>96.687336814621403</v>
      </c>
      <c r="H79">
        <v>96.833479099524297</v>
      </c>
      <c r="I79">
        <v>96.651772258725671</v>
      </c>
      <c r="J79">
        <v>96.37</v>
      </c>
      <c r="K79">
        <v>93.72</v>
      </c>
      <c r="L79">
        <v>95.46</v>
      </c>
      <c r="M79">
        <v>95.91</v>
      </c>
      <c r="N79">
        <v>95.37</v>
      </c>
      <c r="O79">
        <v>95.91</v>
      </c>
      <c r="P79">
        <v>96.6</v>
      </c>
      <c r="Q79">
        <v>97.19</v>
      </c>
      <c r="R79">
        <v>97.405204460966544</v>
      </c>
      <c r="S79">
        <v>97.783187695482539</v>
      </c>
      <c r="T79">
        <v>98.417391011387295</v>
      </c>
      <c r="U79">
        <v>97.894988736415627</v>
      </c>
      <c r="V79">
        <v>97.91</v>
      </c>
      <c r="W79">
        <v>93.43</v>
      </c>
      <c r="X79">
        <v>98.38</v>
      </c>
      <c r="Y79">
        <v>96.36</v>
      </c>
      <c r="Z79">
        <v>98.69</v>
      </c>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97.43</v>
      </c>
      <c r="D80">
        <v>96.76</v>
      </c>
      <c r="E80">
        <v>96.18</v>
      </c>
      <c r="F80">
        <v>96.551563477589482</v>
      </c>
      <c r="G80">
        <v>97.260273972602747</v>
      </c>
      <c r="H80">
        <v>96.991780086989195</v>
      </c>
      <c r="I80">
        <v>96.957591753753974</v>
      </c>
      <c r="J80">
        <v>96.84</v>
      </c>
      <c r="K80">
        <v>95.45</v>
      </c>
      <c r="L80">
        <v>95.83</v>
      </c>
      <c r="M80">
        <v>96.84</v>
      </c>
      <c r="N80">
        <v>96.31</v>
      </c>
      <c r="O80">
        <v>96.83</v>
      </c>
      <c r="P80">
        <v>95.79</v>
      </c>
      <c r="Q80">
        <v>96.33</v>
      </c>
      <c r="R80">
        <v>96.092924328894526</v>
      </c>
      <c r="S80">
        <v>97.00560075539056</v>
      </c>
      <c r="T80">
        <v>98.035996130543197</v>
      </c>
      <c r="U80">
        <v>97.225585912863593</v>
      </c>
      <c r="V80">
        <v>96.63</v>
      </c>
      <c r="W80">
        <v>90.57</v>
      </c>
      <c r="X80">
        <v>92.71</v>
      </c>
      <c r="Y80">
        <v>94.82</v>
      </c>
      <c r="Z80">
        <v>96.35</v>
      </c>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98.67</v>
      </c>
      <c r="D81">
        <v>98.54</v>
      </c>
      <c r="E81">
        <v>98.39</v>
      </c>
      <c r="F81">
        <v>98.50243763800529</v>
      </c>
      <c r="G81">
        <v>98.453641049572582</v>
      </c>
      <c r="H81">
        <v>98.317005259358496</v>
      </c>
      <c r="I81">
        <v>98.240435035929309</v>
      </c>
      <c r="J81">
        <v>98.2</v>
      </c>
      <c r="K81">
        <v>98.13</v>
      </c>
      <c r="L81">
        <v>98.35</v>
      </c>
      <c r="M81">
        <v>98.19</v>
      </c>
      <c r="N81">
        <v>97.8</v>
      </c>
      <c r="O81">
        <v>98.7</v>
      </c>
      <c r="P81">
        <v>98.7</v>
      </c>
      <c r="Q81">
        <v>98.3</v>
      </c>
      <c r="R81">
        <v>97.403545359749742</v>
      </c>
      <c r="S81">
        <v>98.690565098332087</v>
      </c>
      <c r="T81">
        <v>97.557878284653697</v>
      </c>
      <c r="U81">
        <v>98.516155872971851</v>
      </c>
      <c r="V81">
        <v>98.99</v>
      </c>
      <c r="W81">
        <v>96.7</v>
      </c>
      <c r="X81">
        <v>96.5</v>
      </c>
      <c r="Y81">
        <v>97.37</v>
      </c>
      <c r="Z81">
        <v>97.32</v>
      </c>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98.66</v>
      </c>
      <c r="D82">
        <v>98.56</v>
      </c>
      <c r="E82">
        <v>98.83</v>
      </c>
      <c r="F82">
        <v>98.938335751318647</v>
      </c>
      <c r="G82">
        <v>99.014584573518164</v>
      </c>
      <c r="H82">
        <v>98.979673176564305</v>
      </c>
      <c r="I82">
        <v>98.811301037545718</v>
      </c>
      <c r="J82">
        <v>98.69</v>
      </c>
      <c r="K82">
        <v>98.7</v>
      </c>
      <c r="L82">
        <v>98.88</v>
      </c>
      <c r="M82">
        <v>98.74</v>
      </c>
      <c r="N82">
        <v>98.64</v>
      </c>
      <c r="O82">
        <v>98.66</v>
      </c>
      <c r="P82">
        <v>98.44</v>
      </c>
      <c r="Q82">
        <v>98.48</v>
      </c>
      <c r="R82">
        <v>97.827005492847235</v>
      </c>
      <c r="S82">
        <v>98.706601187756974</v>
      </c>
      <c r="T82">
        <v>99.195004291337398</v>
      </c>
      <c r="U82">
        <v>99.405989604818075</v>
      </c>
      <c r="V82">
        <v>97.91</v>
      </c>
      <c r="W82">
        <v>93.01</v>
      </c>
      <c r="X82">
        <v>97.37</v>
      </c>
      <c r="Y82">
        <v>97.58</v>
      </c>
      <c r="Z82">
        <v>98.43</v>
      </c>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98.8</v>
      </c>
      <c r="D83">
        <v>98.8</v>
      </c>
      <c r="E83">
        <v>98.74</v>
      </c>
      <c r="F83">
        <v>98.781792505313618</v>
      </c>
      <c r="G83">
        <v>98.856470652605083</v>
      </c>
      <c r="H83">
        <v>98.871770930594394</v>
      </c>
      <c r="I83">
        <v>98.778469159668944</v>
      </c>
      <c r="J83">
        <v>98.5</v>
      </c>
      <c r="K83">
        <v>98.13</v>
      </c>
      <c r="L83">
        <v>98.3</v>
      </c>
      <c r="M83">
        <v>98.19</v>
      </c>
      <c r="N83">
        <v>98.35</v>
      </c>
      <c r="O83">
        <v>98.96</v>
      </c>
      <c r="P83">
        <v>99</v>
      </c>
      <c r="Q83">
        <v>99.16</v>
      </c>
      <c r="R83">
        <v>98.654073199527744</v>
      </c>
      <c r="S83">
        <v>98.525695029486101</v>
      </c>
      <c r="T83">
        <v>98.141733303117604</v>
      </c>
      <c r="U83">
        <v>98.760804238049502</v>
      </c>
      <c r="V83">
        <v>97.91</v>
      </c>
      <c r="W83">
        <v>95.83</v>
      </c>
      <c r="X83">
        <v>95.89</v>
      </c>
      <c r="Y83">
        <v>97.46</v>
      </c>
      <c r="Z83">
        <v>97.81</v>
      </c>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98.42</v>
      </c>
      <c r="D84">
        <v>98.13</v>
      </c>
      <c r="E84">
        <v>98.16</v>
      </c>
      <c r="F84">
        <v>98.356161227522492</v>
      </c>
      <c r="G84">
        <v>98.418090275487543</v>
      </c>
      <c r="H84">
        <v>98.237382440259907</v>
      </c>
      <c r="I84">
        <v>98.133772142096603</v>
      </c>
      <c r="J84">
        <v>97.86</v>
      </c>
      <c r="K84">
        <v>97.14</v>
      </c>
      <c r="L84">
        <v>98.04</v>
      </c>
      <c r="M84">
        <v>96.77</v>
      </c>
      <c r="N84">
        <v>96.92</v>
      </c>
      <c r="O84">
        <v>96.96</v>
      </c>
      <c r="P84">
        <v>97</v>
      </c>
      <c r="Q84">
        <v>97.19</v>
      </c>
      <c r="R84">
        <v>97.787881437439879</v>
      </c>
      <c r="S84">
        <v>98.081647476020592</v>
      </c>
      <c r="T84">
        <v>98.392943985145195</v>
      </c>
      <c r="U84">
        <v>98.981086695091292</v>
      </c>
      <c r="V84">
        <v>98.52</v>
      </c>
      <c r="W84">
        <v>96.94</v>
      </c>
      <c r="X84">
        <v>96.94</v>
      </c>
      <c r="Y84">
        <v>98.18</v>
      </c>
      <c r="Z84">
        <v>97.58</v>
      </c>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97.99</v>
      </c>
      <c r="D85">
        <v>97.27</v>
      </c>
      <c r="E85">
        <v>97.1</v>
      </c>
      <c r="F85">
        <v>97.169658479683747</v>
      </c>
      <c r="G85">
        <v>97.319167335845322</v>
      </c>
      <c r="H85">
        <v>97.218923634017898</v>
      </c>
      <c r="I85">
        <v>97.029526125606253</v>
      </c>
      <c r="J85">
        <v>96.84</v>
      </c>
      <c r="K85">
        <v>96.36</v>
      </c>
      <c r="L85">
        <v>96.28</v>
      </c>
      <c r="M85">
        <v>95.91</v>
      </c>
      <c r="N85">
        <v>95.37</v>
      </c>
      <c r="O85">
        <v>96.61</v>
      </c>
      <c r="P85">
        <v>97.08</v>
      </c>
      <c r="Q85">
        <v>97.12</v>
      </c>
      <c r="R85">
        <v>96.033323589593692</v>
      </c>
      <c r="S85">
        <v>97.032706414428333</v>
      </c>
      <c r="T85">
        <v>97.166456670866495</v>
      </c>
      <c r="U85">
        <v>96.660689055537446</v>
      </c>
      <c r="V85">
        <v>96.25</v>
      </c>
      <c r="W85">
        <v>93.9</v>
      </c>
      <c r="X85">
        <v>95.19</v>
      </c>
      <c r="Y85">
        <v>86.59</v>
      </c>
      <c r="Z85">
        <v>93.77</v>
      </c>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98.12</v>
      </c>
      <c r="D86">
        <v>97.58</v>
      </c>
      <c r="E86">
        <v>97.57</v>
      </c>
      <c r="F86">
        <v>97.754839464296168</v>
      </c>
      <c r="G86">
        <v>97.953431372549019</v>
      </c>
      <c r="H86">
        <v>97.908338950459495</v>
      </c>
      <c r="I86">
        <v>97.564801016294922</v>
      </c>
      <c r="J86">
        <v>97.44</v>
      </c>
      <c r="K86">
        <v>97.35</v>
      </c>
      <c r="L86">
        <v>97.36</v>
      </c>
      <c r="M86">
        <v>97.26</v>
      </c>
      <c r="N86">
        <v>97.03</v>
      </c>
      <c r="O86">
        <v>98.35</v>
      </c>
      <c r="P86">
        <v>98.39</v>
      </c>
      <c r="Q86">
        <v>98.22</v>
      </c>
      <c r="R86">
        <v>98.539107829101042</v>
      </c>
      <c r="S86">
        <v>98.594348744762385</v>
      </c>
      <c r="T86">
        <v>98.885768050650199</v>
      </c>
      <c r="U86">
        <v>98.81228090728041</v>
      </c>
      <c r="V86">
        <v>98.87</v>
      </c>
      <c r="W86">
        <v>95.3</v>
      </c>
      <c r="X86">
        <v>96.7</v>
      </c>
      <c r="Y86">
        <v>96.93</v>
      </c>
      <c r="Z86">
        <v>97.66</v>
      </c>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98.45</v>
      </c>
      <c r="D87">
        <v>98.21</v>
      </c>
      <c r="E87">
        <v>97.84</v>
      </c>
      <c r="F87">
        <v>97.320658491768853</v>
      </c>
      <c r="G87">
        <v>97.513634905357719</v>
      </c>
      <c r="H87">
        <v>97.824617152902206</v>
      </c>
      <c r="I87">
        <v>97.78700298328414</v>
      </c>
      <c r="J87">
        <v>97.59</v>
      </c>
      <c r="K87">
        <v>97.02</v>
      </c>
      <c r="L87">
        <v>96.97</v>
      </c>
      <c r="M87">
        <v>96.66</v>
      </c>
      <c r="N87">
        <v>97.55</v>
      </c>
      <c r="O87">
        <v>98.35</v>
      </c>
      <c r="P87">
        <v>98.67</v>
      </c>
      <c r="Q87">
        <v>99.38</v>
      </c>
      <c r="R87">
        <v>97.533802428256067</v>
      </c>
      <c r="S87">
        <v>98.211294061902422</v>
      </c>
      <c r="T87">
        <v>97.828183665736603</v>
      </c>
      <c r="U87">
        <v>98.596228215131433</v>
      </c>
      <c r="V87">
        <v>98.29</v>
      </c>
      <c r="W87">
        <v>95.09</v>
      </c>
      <c r="X87">
        <v>98.67</v>
      </c>
      <c r="Y87">
        <v>97.87</v>
      </c>
      <c r="Z87">
        <v>99.99</v>
      </c>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t="s">
        <v>879</v>
      </c>
      <c r="D88" t="s">
        <v>879</v>
      </c>
      <c r="E88" t="s">
        <v>879</v>
      </c>
      <c r="F88" t="s">
        <v>879</v>
      </c>
      <c r="G88" t="s">
        <v>879</v>
      </c>
      <c r="H88" t="s">
        <v>879</v>
      </c>
      <c r="I88" t="s">
        <v>879</v>
      </c>
      <c r="J88">
        <v>97.61</v>
      </c>
      <c r="K88">
        <v>97.55</v>
      </c>
      <c r="L88">
        <v>97.87</v>
      </c>
      <c r="M88">
        <v>97.88</v>
      </c>
      <c r="N88">
        <v>97.55</v>
      </c>
      <c r="O88" t="s">
        <v>879</v>
      </c>
      <c r="P88" t="s">
        <v>879</v>
      </c>
      <c r="Q88" t="s">
        <v>879</v>
      </c>
      <c r="R88" t="s">
        <v>879</v>
      </c>
      <c r="S88" t="s">
        <v>879</v>
      </c>
      <c r="T88" t="s">
        <v>879</v>
      </c>
      <c r="U88" t="s">
        <v>879</v>
      </c>
      <c r="V88">
        <v>98.22</v>
      </c>
      <c r="W88">
        <v>97.16</v>
      </c>
      <c r="X88">
        <v>98.24</v>
      </c>
      <c r="Y88">
        <v>97.14</v>
      </c>
      <c r="Z88">
        <v>97.04</v>
      </c>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97.13</v>
      </c>
      <c r="D89">
        <v>96.97</v>
      </c>
      <c r="E89">
        <v>96.77</v>
      </c>
      <c r="F89">
        <v>97.037951249614324</v>
      </c>
      <c r="G89">
        <v>97.053164556962031</v>
      </c>
      <c r="H89">
        <v>96.989316410956704</v>
      </c>
      <c r="I89">
        <v>96.625938288199848</v>
      </c>
      <c r="J89">
        <v>96.52</v>
      </c>
      <c r="K89">
        <v>95.89</v>
      </c>
      <c r="L89">
        <v>96.28</v>
      </c>
      <c r="M89">
        <v>96.4</v>
      </c>
      <c r="N89">
        <v>95.19</v>
      </c>
      <c r="O89">
        <v>98.75</v>
      </c>
      <c r="P89">
        <v>97.63</v>
      </c>
      <c r="Q89">
        <v>97.35</v>
      </c>
      <c r="R89">
        <v>97.68701934281053</v>
      </c>
      <c r="S89">
        <v>99.14073052274621</v>
      </c>
      <c r="T89">
        <v>98.263336131291695</v>
      </c>
      <c r="U89">
        <v>97.064640072324565</v>
      </c>
      <c r="V89">
        <v>95.82</v>
      </c>
      <c r="W89">
        <v>94.69</v>
      </c>
      <c r="X89">
        <v>96.42</v>
      </c>
      <c r="Y89">
        <v>96.1</v>
      </c>
      <c r="Z89">
        <v>96.78</v>
      </c>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98.57</v>
      </c>
      <c r="D90">
        <v>98.51</v>
      </c>
      <c r="E90">
        <v>98.33</v>
      </c>
      <c r="F90">
        <v>98.62067883314765</v>
      </c>
      <c r="G90">
        <v>98.491163596707452</v>
      </c>
      <c r="H90">
        <v>97.914494264859201</v>
      </c>
      <c r="I90">
        <v>97.670791170764957</v>
      </c>
      <c r="J90">
        <v>97.25</v>
      </c>
      <c r="K90">
        <v>96.29</v>
      </c>
      <c r="L90">
        <v>96.92</v>
      </c>
      <c r="M90">
        <v>95.52</v>
      </c>
      <c r="N90">
        <v>97.01</v>
      </c>
      <c r="O90">
        <v>98.91</v>
      </c>
      <c r="P90">
        <v>98.13</v>
      </c>
      <c r="Q90">
        <v>98.7</v>
      </c>
      <c r="R90">
        <v>98.510856931085016</v>
      </c>
      <c r="S90">
        <v>98.724699687345733</v>
      </c>
      <c r="T90">
        <v>98.9523621269025</v>
      </c>
      <c r="U90">
        <v>98.830457453983186</v>
      </c>
      <c r="V90">
        <v>98.36</v>
      </c>
      <c r="W90">
        <v>90.69</v>
      </c>
      <c r="X90">
        <v>97.95</v>
      </c>
      <c r="Y90">
        <v>98.08</v>
      </c>
      <c r="Z90">
        <v>98.46</v>
      </c>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98.92</v>
      </c>
      <c r="D91">
        <v>98.8</v>
      </c>
      <c r="E91">
        <v>98.81</v>
      </c>
      <c r="F91">
        <v>98.765896678824376</v>
      </c>
      <c r="G91">
        <v>98.869382736592996</v>
      </c>
      <c r="H91">
        <v>98.868808155144905</v>
      </c>
      <c r="I91">
        <v>98.895234295119579</v>
      </c>
      <c r="J91">
        <v>98.71</v>
      </c>
      <c r="K91">
        <v>98.44</v>
      </c>
      <c r="L91">
        <v>98.58</v>
      </c>
      <c r="M91">
        <v>98.5</v>
      </c>
      <c r="N91">
        <v>98.4</v>
      </c>
      <c r="O91">
        <v>98.72</v>
      </c>
      <c r="P91">
        <v>98.53</v>
      </c>
      <c r="Q91">
        <v>98.86</v>
      </c>
      <c r="R91">
        <v>98.413434112949233</v>
      </c>
      <c r="S91">
        <v>99.04168663152852</v>
      </c>
      <c r="T91">
        <v>99.242264786360707</v>
      </c>
      <c r="U91">
        <v>98.738797508659118</v>
      </c>
      <c r="V91">
        <v>98.37</v>
      </c>
      <c r="W91">
        <v>94.63</v>
      </c>
      <c r="X91">
        <v>96.38</v>
      </c>
      <c r="Y91">
        <v>97.18</v>
      </c>
      <c r="Z91">
        <v>97.39</v>
      </c>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95.86</v>
      </c>
      <c r="D92">
        <v>94.86</v>
      </c>
      <c r="E92">
        <v>95.48</v>
      </c>
      <c r="F92">
        <v>95.745892792900818</v>
      </c>
      <c r="G92">
        <v>95.880537768377138</v>
      </c>
      <c r="H92">
        <v>95.997173668468506</v>
      </c>
      <c r="I92">
        <v>95.727761396550363</v>
      </c>
      <c r="J92">
        <v>95.5</v>
      </c>
      <c r="K92">
        <v>93.99</v>
      </c>
      <c r="L92">
        <v>93.73</v>
      </c>
      <c r="M92">
        <v>93.34</v>
      </c>
      <c r="N92">
        <v>93.56</v>
      </c>
      <c r="O92">
        <v>98.86</v>
      </c>
      <c r="P92">
        <v>98.77</v>
      </c>
      <c r="Q92">
        <v>98.78</v>
      </c>
      <c r="R92">
        <v>98.715220304248447</v>
      </c>
      <c r="S92">
        <v>98.831835686777922</v>
      </c>
      <c r="T92">
        <v>99.128796797739497</v>
      </c>
      <c r="U92">
        <v>99.025374713888411</v>
      </c>
      <c r="V92">
        <v>98.6</v>
      </c>
      <c r="W92">
        <v>86.32</v>
      </c>
      <c r="X92">
        <v>90.89</v>
      </c>
      <c r="Y92">
        <v>96.02</v>
      </c>
      <c r="Z92">
        <v>95.13</v>
      </c>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97.82</v>
      </c>
      <c r="D93">
        <v>97.62</v>
      </c>
      <c r="E93">
        <v>97.79</v>
      </c>
      <c r="F93">
        <v>98.031193746144837</v>
      </c>
      <c r="G93">
        <v>97.991813609573995</v>
      </c>
      <c r="H93">
        <v>97.8190592744821</v>
      </c>
      <c r="I93">
        <v>97.811412930874681</v>
      </c>
      <c r="J93">
        <v>97.62</v>
      </c>
      <c r="K93">
        <v>95.4</v>
      </c>
      <c r="L93">
        <v>96.46</v>
      </c>
      <c r="M93">
        <v>96.58</v>
      </c>
      <c r="N93">
        <v>96.94</v>
      </c>
      <c r="O93">
        <v>96.85</v>
      </c>
      <c r="P93">
        <v>98.09</v>
      </c>
      <c r="Q93">
        <v>97.86</v>
      </c>
      <c r="R93">
        <v>97.84288292352808</v>
      </c>
      <c r="S93">
        <v>97.747735494926971</v>
      </c>
      <c r="T93">
        <v>97.699639433155298</v>
      </c>
      <c r="U93">
        <v>98.042176797368001</v>
      </c>
      <c r="V93">
        <v>96.55</v>
      </c>
      <c r="W93">
        <v>90.48</v>
      </c>
      <c r="X93">
        <v>94.86</v>
      </c>
      <c r="Y93">
        <v>96.71</v>
      </c>
      <c r="Z93">
        <v>96.2</v>
      </c>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98.79</v>
      </c>
      <c r="D94">
        <v>98.75</v>
      </c>
      <c r="E94">
        <v>99.07</v>
      </c>
      <c r="F94">
        <v>99.059838939621628</v>
      </c>
      <c r="G94">
        <v>99.062413824800075</v>
      </c>
      <c r="H94">
        <v>98.979716200922695</v>
      </c>
      <c r="I94">
        <v>99.051735471995798</v>
      </c>
      <c r="J94">
        <v>99.07</v>
      </c>
      <c r="K94">
        <v>98.05</v>
      </c>
      <c r="L94">
        <v>98.52</v>
      </c>
      <c r="M94">
        <v>98.96</v>
      </c>
      <c r="N94">
        <v>98.96</v>
      </c>
      <c r="O94">
        <v>97.95</v>
      </c>
      <c r="P94">
        <v>98.63</v>
      </c>
      <c r="Q94">
        <v>99.2</v>
      </c>
      <c r="R94">
        <v>99.291312322828091</v>
      </c>
      <c r="S94">
        <v>99.357342569795108</v>
      </c>
      <c r="T94">
        <v>99.209127981216696</v>
      </c>
      <c r="U94">
        <v>99.277290235476315</v>
      </c>
      <c r="V94">
        <v>99.01</v>
      </c>
      <c r="W94">
        <v>97.15</v>
      </c>
      <c r="X94">
        <v>98.76</v>
      </c>
      <c r="Y94">
        <v>99.21</v>
      </c>
      <c r="Z94">
        <v>99.61</v>
      </c>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97.83</v>
      </c>
      <c r="D95">
        <v>97.23</v>
      </c>
      <c r="E95">
        <v>97.1</v>
      </c>
      <c r="F95">
        <v>97.26049279182142</v>
      </c>
      <c r="G95">
        <v>97.531759050852628</v>
      </c>
      <c r="H95">
        <v>97.397327874545297</v>
      </c>
      <c r="I95">
        <v>97.307194058208822</v>
      </c>
      <c r="J95">
        <v>96.89</v>
      </c>
      <c r="K95">
        <v>94.64</v>
      </c>
      <c r="L95">
        <v>94.72</v>
      </c>
      <c r="M95">
        <v>95.82</v>
      </c>
      <c r="N95">
        <v>95.84</v>
      </c>
      <c r="O95">
        <v>97.8</v>
      </c>
      <c r="P95">
        <v>98.51</v>
      </c>
      <c r="Q95">
        <v>97.78</v>
      </c>
      <c r="R95">
        <v>98.161736309569775</v>
      </c>
      <c r="S95">
        <v>98.018251937836496</v>
      </c>
      <c r="T95">
        <v>98.290666880667601</v>
      </c>
      <c r="U95">
        <v>98.144568998840356</v>
      </c>
      <c r="V95">
        <v>98.44</v>
      </c>
      <c r="W95">
        <v>87.76</v>
      </c>
      <c r="X95">
        <v>95.39</v>
      </c>
      <c r="Y95">
        <v>96.65</v>
      </c>
      <c r="Z95">
        <v>96.53</v>
      </c>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97.32</v>
      </c>
      <c r="D96">
        <v>96.5</v>
      </c>
      <c r="E96">
        <v>95.4</v>
      </c>
      <c r="F96">
        <v>96.495673894942627</v>
      </c>
      <c r="G96">
        <v>96.805128205128213</v>
      </c>
      <c r="H96">
        <v>95.638069491929699</v>
      </c>
      <c r="I96">
        <v>97.087054756092016</v>
      </c>
      <c r="J96">
        <v>96.95</v>
      </c>
      <c r="K96">
        <v>96.08</v>
      </c>
      <c r="L96">
        <v>96.52</v>
      </c>
      <c r="M96">
        <v>95.77</v>
      </c>
      <c r="N96">
        <v>96.5</v>
      </c>
      <c r="O96">
        <v>98.15</v>
      </c>
      <c r="P96">
        <v>98.51</v>
      </c>
      <c r="Q96">
        <v>98.75</v>
      </c>
      <c r="R96">
        <v>98.592846866402482</v>
      </c>
      <c r="S96">
        <v>97.165232737701302</v>
      </c>
      <c r="T96">
        <v>98.069273189168996</v>
      </c>
      <c r="U96">
        <v>98.384047587510679</v>
      </c>
      <c r="V96">
        <v>98.1</v>
      </c>
      <c r="W96">
        <v>95.84</v>
      </c>
      <c r="X96">
        <v>98.27</v>
      </c>
      <c r="Y96">
        <v>98.34</v>
      </c>
      <c r="Z96">
        <v>98.82</v>
      </c>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98.36</v>
      </c>
      <c r="D97">
        <v>98.66</v>
      </c>
      <c r="E97">
        <v>98.61</v>
      </c>
      <c r="F97">
        <v>98.929814979176626</v>
      </c>
      <c r="G97">
        <v>99.054412197755454</v>
      </c>
      <c r="H97">
        <v>99.111539118683993</v>
      </c>
      <c r="I97">
        <v>98.749580518552023</v>
      </c>
      <c r="J97">
        <v>98.44</v>
      </c>
      <c r="K97">
        <v>98.37</v>
      </c>
      <c r="L97">
        <v>98.49</v>
      </c>
      <c r="M97">
        <v>98.33</v>
      </c>
      <c r="N97">
        <v>98.08</v>
      </c>
      <c r="O97">
        <v>98.12</v>
      </c>
      <c r="P97">
        <v>99.32</v>
      </c>
      <c r="Q97">
        <v>99.04</v>
      </c>
      <c r="R97">
        <v>98.954489544895452</v>
      </c>
      <c r="S97">
        <v>98.799357796030435</v>
      </c>
      <c r="T97">
        <v>99.278892072588306</v>
      </c>
      <c r="U97">
        <v>99.056272393040302</v>
      </c>
      <c r="V97">
        <v>98.94</v>
      </c>
      <c r="W97">
        <v>92.49</v>
      </c>
      <c r="X97">
        <v>98.43</v>
      </c>
      <c r="Y97">
        <v>96.38</v>
      </c>
      <c r="Z97">
        <v>99.14</v>
      </c>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97.99</v>
      </c>
      <c r="D98">
        <v>97.71</v>
      </c>
      <c r="E98">
        <v>97.29</v>
      </c>
      <c r="F98">
        <v>97.24190605507701</v>
      </c>
      <c r="G98">
        <v>97.038970573240618</v>
      </c>
      <c r="H98">
        <v>96.882235215633898</v>
      </c>
      <c r="I98">
        <v>96.839866863905328</v>
      </c>
      <c r="J98">
        <v>96.76</v>
      </c>
      <c r="K98">
        <v>96.71</v>
      </c>
      <c r="L98">
        <v>96.7</v>
      </c>
      <c r="M98">
        <v>96.76</v>
      </c>
      <c r="N98">
        <v>96.28</v>
      </c>
      <c r="O98">
        <v>97.51</v>
      </c>
      <c r="P98">
        <v>98.47</v>
      </c>
      <c r="Q98">
        <v>98.02</v>
      </c>
      <c r="R98">
        <v>97.931502204137004</v>
      </c>
      <c r="S98">
        <v>97.932683465146226</v>
      </c>
      <c r="T98">
        <v>98.003334237971501</v>
      </c>
      <c r="U98">
        <v>97.695371408684892</v>
      </c>
      <c r="V98">
        <v>96.84</v>
      </c>
      <c r="W98">
        <v>97.23</v>
      </c>
      <c r="X98">
        <v>96.04</v>
      </c>
      <c r="Y98">
        <v>97.1</v>
      </c>
      <c r="Z98">
        <v>96.58</v>
      </c>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97.62</v>
      </c>
      <c r="D99">
        <v>97.42</v>
      </c>
      <c r="E99">
        <v>97.09</v>
      </c>
      <c r="F99">
        <v>97.918717957423695</v>
      </c>
      <c r="G99">
        <v>98.000740466493895</v>
      </c>
      <c r="H99">
        <v>97.555175182149995</v>
      </c>
      <c r="I99">
        <v>97.418381578572848</v>
      </c>
      <c r="J99">
        <v>97.48</v>
      </c>
      <c r="K99">
        <v>96.13</v>
      </c>
      <c r="L99">
        <v>96.3</v>
      </c>
      <c r="M99">
        <v>97.12</v>
      </c>
      <c r="N99">
        <v>96.8</v>
      </c>
      <c r="O99">
        <v>97.84</v>
      </c>
      <c r="P99">
        <v>97.98</v>
      </c>
      <c r="Q99">
        <v>98.27</v>
      </c>
      <c r="R99">
        <v>98.753323894049799</v>
      </c>
      <c r="S99">
        <v>99.32213678672602</v>
      </c>
      <c r="T99">
        <v>99.410690285005302</v>
      </c>
      <c r="U99">
        <v>98.703847845950804</v>
      </c>
      <c r="V99">
        <v>98.03</v>
      </c>
      <c r="W99">
        <v>94.11</v>
      </c>
      <c r="X99">
        <v>96.81</v>
      </c>
      <c r="Y99">
        <v>98.26</v>
      </c>
      <c r="Z99">
        <v>99.55</v>
      </c>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98.25</v>
      </c>
      <c r="D100">
        <v>98.26</v>
      </c>
      <c r="E100">
        <v>98.37</v>
      </c>
      <c r="F100">
        <v>98.378973506055416</v>
      </c>
      <c r="G100">
        <v>98.468681637573113</v>
      </c>
      <c r="H100">
        <v>98.509902145995596</v>
      </c>
      <c r="I100">
        <v>98.500040105879521</v>
      </c>
      <c r="J100">
        <v>98.24</v>
      </c>
      <c r="K100">
        <v>97.13</v>
      </c>
      <c r="L100">
        <v>97.32</v>
      </c>
      <c r="M100">
        <v>97.76</v>
      </c>
      <c r="N100">
        <v>97.58</v>
      </c>
      <c r="O100">
        <v>95.44</v>
      </c>
      <c r="P100">
        <v>98.26</v>
      </c>
      <c r="Q100">
        <v>98.38</v>
      </c>
      <c r="R100">
        <v>97.887037789516455</v>
      </c>
      <c r="S100">
        <v>98.745035742652902</v>
      </c>
      <c r="T100">
        <v>97.592531935800807</v>
      </c>
      <c r="U100">
        <v>98.479596659839302</v>
      </c>
      <c r="V100">
        <v>99.21</v>
      </c>
      <c r="W100">
        <v>93.22</v>
      </c>
      <c r="X100">
        <v>97.94</v>
      </c>
      <c r="Y100">
        <v>95.97</v>
      </c>
      <c r="Z100">
        <v>98.49</v>
      </c>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97.97</v>
      </c>
      <c r="D101">
        <v>97.82</v>
      </c>
      <c r="E101">
        <v>96.77</v>
      </c>
      <c r="F101">
        <v>96.392547240452814</v>
      </c>
      <c r="G101">
        <v>96.168365420913545</v>
      </c>
      <c r="H101">
        <v>96.837055615271296</v>
      </c>
      <c r="I101">
        <v>97.090936145676395</v>
      </c>
      <c r="J101">
        <v>96.77</v>
      </c>
      <c r="K101">
        <v>95.15</v>
      </c>
      <c r="L101">
        <v>95.98</v>
      </c>
      <c r="M101">
        <v>96.6</v>
      </c>
      <c r="N101">
        <v>96.61</v>
      </c>
      <c r="O101">
        <v>98.03</v>
      </c>
      <c r="P101">
        <v>97.54</v>
      </c>
      <c r="Q101">
        <v>96.29</v>
      </c>
      <c r="R101">
        <v>97.007850127043113</v>
      </c>
      <c r="S101">
        <v>97.066686197678251</v>
      </c>
      <c r="T101">
        <v>98.828763737308407</v>
      </c>
      <c r="U101">
        <v>97.912650155717046</v>
      </c>
      <c r="V101">
        <v>97.56</v>
      </c>
      <c r="W101">
        <v>93.16</v>
      </c>
      <c r="X101">
        <v>94.37</v>
      </c>
      <c r="Y101">
        <v>98.39</v>
      </c>
      <c r="Z101">
        <v>98.05</v>
      </c>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96.57</v>
      </c>
      <c r="D102">
        <v>96.19</v>
      </c>
      <c r="E102">
        <v>95.37</v>
      </c>
      <c r="F102">
        <v>95.593131032500651</v>
      </c>
      <c r="G102">
        <v>95.825804325344066</v>
      </c>
      <c r="H102">
        <v>95.860118282334696</v>
      </c>
      <c r="I102">
        <v>95.691923111814447</v>
      </c>
      <c r="J102">
        <v>95.88</v>
      </c>
      <c r="K102">
        <v>94.12</v>
      </c>
      <c r="L102">
        <v>94.51</v>
      </c>
      <c r="M102">
        <v>93.18</v>
      </c>
      <c r="N102">
        <v>93.84</v>
      </c>
      <c r="O102">
        <v>96.28</v>
      </c>
      <c r="P102">
        <v>96.96</v>
      </c>
      <c r="Q102">
        <v>96.19</v>
      </c>
      <c r="R102">
        <v>97.563402889245594</v>
      </c>
      <c r="S102">
        <v>97.293223704042504</v>
      </c>
      <c r="T102">
        <v>98.550165143911101</v>
      </c>
      <c r="U102">
        <v>98.002989156358325</v>
      </c>
      <c r="V102">
        <v>97.49</v>
      </c>
      <c r="W102">
        <v>88.37</v>
      </c>
      <c r="X102">
        <v>93.38</v>
      </c>
      <c r="Y102">
        <v>94.96</v>
      </c>
      <c r="Z102">
        <v>95.15</v>
      </c>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98.5</v>
      </c>
      <c r="D103">
        <v>98.35</v>
      </c>
      <c r="E103">
        <v>98.19</v>
      </c>
      <c r="F103">
        <v>98.37856773483243</v>
      </c>
      <c r="G103">
        <v>98.373696872493994</v>
      </c>
      <c r="H103">
        <v>98.489139253294894</v>
      </c>
      <c r="I103">
        <v>98.455989919033613</v>
      </c>
      <c r="J103">
        <v>98.37</v>
      </c>
      <c r="K103">
        <v>98.06</v>
      </c>
      <c r="L103">
        <v>97.97</v>
      </c>
      <c r="M103">
        <v>97.81</v>
      </c>
      <c r="N103">
        <v>97.63</v>
      </c>
      <c r="O103">
        <v>99.14</v>
      </c>
      <c r="P103">
        <v>98.68</v>
      </c>
      <c r="Q103">
        <v>98.99</v>
      </c>
      <c r="R103">
        <v>98.901396989013961</v>
      </c>
      <c r="S103">
        <v>98.710727800756842</v>
      </c>
      <c r="T103">
        <v>99.026872600660596</v>
      </c>
      <c r="U103">
        <v>97.912598186000082</v>
      </c>
      <c r="V103">
        <v>97.81</v>
      </c>
      <c r="W103">
        <v>95.05</v>
      </c>
      <c r="X103">
        <v>98.2</v>
      </c>
      <c r="Y103">
        <v>98.27</v>
      </c>
      <c r="Z103">
        <v>97.88</v>
      </c>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97.27</v>
      </c>
      <c r="D104">
        <v>96.93</v>
      </c>
      <c r="E104">
        <v>96.71</v>
      </c>
      <c r="F104">
        <v>96.814707628376368</v>
      </c>
      <c r="G104">
        <v>97.126477208778837</v>
      </c>
      <c r="H104">
        <v>97.105404138485198</v>
      </c>
      <c r="I104">
        <v>96.712983477875554</v>
      </c>
      <c r="J104">
        <v>96.62</v>
      </c>
      <c r="K104">
        <v>95.94</v>
      </c>
      <c r="L104">
        <v>95.26</v>
      </c>
      <c r="M104">
        <v>93.51</v>
      </c>
      <c r="N104">
        <v>95.93</v>
      </c>
      <c r="O104">
        <v>98</v>
      </c>
      <c r="P104">
        <v>97.89</v>
      </c>
      <c r="Q104">
        <v>97.6</v>
      </c>
      <c r="R104">
        <v>98.026991345166493</v>
      </c>
      <c r="S104">
        <v>98.442208302134887</v>
      </c>
      <c r="T104">
        <v>98.566783528001295</v>
      </c>
      <c r="U104">
        <v>98.159542608222168</v>
      </c>
      <c r="V104">
        <v>97.77</v>
      </c>
      <c r="W104">
        <v>96.06</v>
      </c>
      <c r="X104">
        <v>95.99</v>
      </c>
      <c r="Y104">
        <v>97.63</v>
      </c>
      <c r="Z104">
        <v>98.15</v>
      </c>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97.57</v>
      </c>
      <c r="D105">
        <v>95.6</v>
      </c>
      <c r="E105">
        <v>95.31</v>
      </c>
      <c r="F105">
        <v>96.130710026530778</v>
      </c>
      <c r="G105">
        <v>96.181576104705201</v>
      </c>
      <c r="H105">
        <v>96.1611419357898</v>
      </c>
      <c r="I105">
        <v>95.964225824482952</v>
      </c>
      <c r="J105">
        <v>95.42</v>
      </c>
      <c r="K105">
        <v>94.56</v>
      </c>
      <c r="L105" t="s">
        <v>915</v>
      </c>
      <c r="M105">
        <v>96.06</v>
      </c>
      <c r="N105">
        <v>93.63</v>
      </c>
      <c r="O105">
        <v>96.31</v>
      </c>
      <c r="P105">
        <v>97.5</v>
      </c>
      <c r="Q105">
        <v>96.86</v>
      </c>
      <c r="R105">
        <v>97.281787979462393</v>
      </c>
      <c r="S105">
        <v>97.79099905749294</v>
      </c>
      <c r="T105">
        <v>98.791559317875098</v>
      </c>
      <c r="U105">
        <v>97.857142857142847</v>
      </c>
      <c r="V105">
        <v>96.78</v>
      </c>
      <c r="W105">
        <v>92.73</v>
      </c>
      <c r="X105" t="s">
        <v>915</v>
      </c>
      <c r="Y105">
        <v>93.32</v>
      </c>
      <c r="Z105">
        <v>93.36</v>
      </c>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97.05</v>
      </c>
      <c r="D106">
        <v>96.77</v>
      </c>
      <c r="E106">
        <v>96.92</v>
      </c>
      <c r="F106">
        <v>96.862912747852278</v>
      </c>
      <c r="G106">
        <v>96.948816987247923</v>
      </c>
      <c r="H106">
        <v>97.039711191335698</v>
      </c>
      <c r="I106">
        <v>96.874563486520458</v>
      </c>
      <c r="J106">
        <v>96.47</v>
      </c>
      <c r="K106">
        <v>94.47</v>
      </c>
      <c r="L106">
        <v>95.47</v>
      </c>
      <c r="M106">
        <v>96.08</v>
      </c>
      <c r="N106">
        <v>95.15</v>
      </c>
      <c r="O106">
        <v>97.92</v>
      </c>
      <c r="P106">
        <v>97.9</v>
      </c>
      <c r="Q106">
        <v>98.4</v>
      </c>
      <c r="R106">
        <v>98.511116461995343</v>
      </c>
      <c r="S106">
        <v>99.109616145627228</v>
      </c>
      <c r="T106">
        <v>98.054635761589395</v>
      </c>
      <c r="U106">
        <v>99.113677020653768</v>
      </c>
      <c r="V106">
        <v>98.35</v>
      </c>
      <c r="W106">
        <v>96.53</v>
      </c>
      <c r="X106">
        <v>96.05</v>
      </c>
      <c r="Y106">
        <v>96.4</v>
      </c>
      <c r="Z106">
        <v>98.68</v>
      </c>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97.47</v>
      </c>
      <c r="D107">
        <v>96.9</v>
      </c>
      <c r="E107">
        <v>96.51</v>
      </c>
      <c r="F107">
        <v>96.13691691051713</v>
      </c>
      <c r="G107">
        <v>96.154025779936475</v>
      </c>
      <c r="H107">
        <v>95.735704549879898</v>
      </c>
      <c r="I107">
        <v>95.852366161154762</v>
      </c>
      <c r="J107">
        <v>95.47</v>
      </c>
      <c r="K107">
        <v>94.62</v>
      </c>
      <c r="L107">
        <v>96.02</v>
      </c>
      <c r="M107">
        <v>95.98</v>
      </c>
      <c r="N107">
        <v>95.66</v>
      </c>
      <c r="O107">
        <v>98.59</v>
      </c>
      <c r="P107">
        <v>98.25</v>
      </c>
      <c r="Q107">
        <v>97.73</v>
      </c>
      <c r="R107">
        <v>97.059104667834944</v>
      </c>
      <c r="S107">
        <v>97.124681132491418</v>
      </c>
      <c r="T107">
        <v>97.614985893314</v>
      </c>
      <c r="U107">
        <v>97.996270661483521</v>
      </c>
      <c r="V107">
        <v>96.49</v>
      </c>
      <c r="W107">
        <v>90.31</v>
      </c>
      <c r="X107">
        <v>98.04</v>
      </c>
      <c r="Y107">
        <v>97.82</v>
      </c>
      <c r="Z107">
        <v>98.16</v>
      </c>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94.24</v>
      </c>
      <c r="D108">
        <v>93.14</v>
      </c>
      <c r="E108">
        <v>93.61</v>
      </c>
      <c r="F108">
        <v>94.139622226883617</v>
      </c>
      <c r="G108">
        <v>94.307187366217946</v>
      </c>
      <c r="H108">
        <v>94.652311251501501</v>
      </c>
      <c r="I108">
        <v>94.472674818870274</v>
      </c>
      <c r="J108">
        <v>94.67</v>
      </c>
      <c r="K108">
        <v>93.08</v>
      </c>
      <c r="L108">
        <v>94</v>
      </c>
      <c r="M108">
        <v>94.46</v>
      </c>
      <c r="N108">
        <v>94</v>
      </c>
      <c r="O108">
        <v>97.45</v>
      </c>
      <c r="P108">
        <v>97.52</v>
      </c>
      <c r="Q108">
        <v>97.78</v>
      </c>
      <c r="R108">
        <v>98.249502061884584</v>
      </c>
      <c r="S108">
        <v>98.193044927646028</v>
      </c>
      <c r="T108">
        <v>98.359586168328804</v>
      </c>
      <c r="U108">
        <v>98.239953381965734</v>
      </c>
      <c r="V108">
        <v>98.22</v>
      </c>
      <c r="W108">
        <v>90.33</v>
      </c>
      <c r="X108">
        <v>93.24</v>
      </c>
      <c r="Y108">
        <v>96.56</v>
      </c>
      <c r="Z108">
        <v>95.81</v>
      </c>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99.24</v>
      </c>
      <c r="D109">
        <v>99.04</v>
      </c>
      <c r="E109">
        <v>99.13</v>
      </c>
      <c r="F109">
        <v>99.315648684797139</v>
      </c>
      <c r="G109">
        <v>99.270406321021227</v>
      </c>
      <c r="H109">
        <v>99.117867487694696</v>
      </c>
      <c r="I109">
        <v>98.884420185770367</v>
      </c>
      <c r="J109">
        <v>98.6</v>
      </c>
      <c r="K109">
        <v>97.53</v>
      </c>
      <c r="L109">
        <v>97.53</v>
      </c>
      <c r="M109">
        <v>97.69</v>
      </c>
      <c r="N109">
        <v>97.81</v>
      </c>
      <c r="O109">
        <v>99.04</v>
      </c>
      <c r="P109">
        <v>99.16</v>
      </c>
      <c r="Q109">
        <v>99.27</v>
      </c>
      <c r="R109">
        <v>99.479248474596744</v>
      </c>
      <c r="S109">
        <v>99.29001928640308</v>
      </c>
      <c r="T109">
        <v>99.380068931784805</v>
      </c>
      <c r="U109">
        <v>99.402516071211238</v>
      </c>
      <c r="V109">
        <v>97.84</v>
      </c>
      <c r="W109">
        <v>95.48</v>
      </c>
      <c r="X109">
        <v>95.5</v>
      </c>
      <c r="Y109">
        <v>97.36</v>
      </c>
      <c r="Z109">
        <v>97.8</v>
      </c>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93.47</v>
      </c>
      <c r="D110">
        <v>93.55</v>
      </c>
      <c r="E110">
        <v>94.02</v>
      </c>
      <c r="F110">
        <v>94.116198916789756</v>
      </c>
      <c r="G110">
        <v>94.536294691224271</v>
      </c>
      <c r="H110">
        <v>95.011449637000197</v>
      </c>
      <c r="I110">
        <v>95.01551873437181</v>
      </c>
      <c r="J110">
        <v>94.68</v>
      </c>
      <c r="K110">
        <v>84.65</v>
      </c>
      <c r="L110">
        <v>63.78</v>
      </c>
      <c r="M110">
        <v>78.25</v>
      </c>
      <c r="N110">
        <v>88.81</v>
      </c>
      <c r="O110">
        <v>95.56</v>
      </c>
      <c r="P110">
        <v>96.2</v>
      </c>
      <c r="Q110">
        <v>95.7</v>
      </c>
      <c r="R110">
        <v>95.830516839948061</v>
      </c>
      <c r="S110">
        <v>96.565146547041905</v>
      </c>
      <c r="T110">
        <v>98.091680040692097</v>
      </c>
      <c r="U110">
        <v>97.311042852107349</v>
      </c>
      <c r="V110">
        <v>96.2</v>
      </c>
      <c r="W110">
        <v>72.37</v>
      </c>
      <c r="X110">
        <v>59.52</v>
      </c>
      <c r="Y110">
        <v>77.900000000000006</v>
      </c>
      <c r="Z110">
        <v>89.22</v>
      </c>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97.09</v>
      </c>
      <c r="D111">
        <v>95.8</v>
      </c>
      <c r="E111">
        <v>95.44</v>
      </c>
      <c r="F111">
        <v>95.186725408654837</v>
      </c>
      <c r="G111">
        <v>95.010976628523693</v>
      </c>
      <c r="H111">
        <v>94.592340055128304</v>
      </c>
      <c r="I111">
        <v>94.721382729464494</v>
      </c>
      <c r="J111">
        <v>94.5</v>
      </c>
      <c r="K111">
        <v>94.12</v>
      </c>
      <c r="L111">
        <v>94.12</v>
      </c>
      <c r="M111">
        <v>93.89</v>
      </c>
      <c r="N111">
        <v>93.78</v>
      </c>
      <c r="O111">
        <v>97.13</v>
      </c>
      <c r="P111">
        <v>96.99</v>
      </c>
      <c r="Q111">
        <v>97.04</v>
      </c>
      <c r="R111">
        <v>96.885008259447801</v>
      </c>
      <c r="S111">
        <v>97.648845281003872</v>
      </c>
      <c r="T111">
        <v>98.211002687031495</v>
      </c>
      <c r="U111">
        <v>98.314695227594896</v>
      </c>
      <c r="V111">
        <v>97.05</v>
      </c>
      <c r="W111">
        <v>96.18</v>
      </c>
      <c r="X111">
        <v>97.38</v>
      </c>
      <c r="Y111">
        <v>97.6</v>
      </c>
      <c r="Z111">
        <v>96.69</v>
      </c>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96.27</v>
      </c>
      <c r="D112">
        <v>96.29</v>
      </c>
      <c r="E112">
        <v>96.29</v>
      </c>
      <c r="F112">
        <v>96.332822921803213</v>
      </c>
      <c r="G112">
        <v>96.979250109821962</v>
      </c>
      <c r="H112">
        <v>96.613293543816496</v>
      </c>
      <c r="I112">
        <v>96.75741558660971</v>
      </c>
      <c r="J112">
        <v>95.87</v>
      </c>
      <c r="K112">
        <v>93.31</v>
      </c>
      <c r="L112">
        <v>93.91</v>
      </c>
      <c r="M112">
        <v>92.45</v>
      </c>
      <c r="N112">
        <v>93.66</v>
      </c>
      <c r="O112">
        <v>96.34</v>
      </c>
      <c r="P112">
        <v>97.12</v>
      </c>
      <c r="Q112">
        <v>98.13</v>
      </c>
      <c r="R112">
        <v>98.243709513834744</v>
      </c>
      <c r="S112">
        <v>98.613171052430388</v>
      </c>
      <c r="T112">
        <v>98.346323708714493</v>
      </c>
      <c r="U112">
        <v>97.982474264393105</v>
      </c>
      <c r="V112">
        <v>96.69</v>
      </c>
      <c r="W112">
        <v>91.86</v>
      </c>
      <c r="X112">
        <v>90.86</v>
      </c>
      <c r="Y112">
        <v>93.27</v>
      </c>
      <c r="Z112">
        <v>91.37</v>
      </c>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98.37</v>
      </c>
      <c r="D113">
        <v>98.56</v>
      </c>
      <c r="E113">
        <v>98.62</v>
      </c>
      <c r="F113">
        <v>98.420969211871451</v>
      </c>
      <c r="G113">
        <v>98.530570881657482</v>
      </c>
      <c r="H113">
        <v>98.601299047957994</v>
      </c>
      <c r="I113">
        <v>98.604142864239236</v>
      </c>
      <c r="J113">
        <v>98.39</v>
      </c>
      <c r="K113">
        <v>97.64</v>
      </c>
      <c r="L113">
        <v>98.07</v>
      </c>
      <c r="M113">
        <v>98.27</v>
      </c>
      <c r="N113">
        <v>98.01</v>
      </c>
      <c r="O113">
        <v>98.43</v>
      </c>
      <c r="P113">
        <v>99.02</v>
      </c>
      <c r="Q113">
        <v>99.25</v>
      </c>
      <c r="R113">
        <v>99.646067996279839</v>
      </c>
      <c r="S113">
        <v>99.577082866880616</v>
      </c>
      <c r="T113">
        <v>99.670807602662293</v>
      </c>
      <c r="U113">
        <v>99.311263661819169</v>
      </c>
      <c r="V113">
        <v>99.13</v>
      </c>
      <c r="W113">
        <v>91.98</v>
      </c>
      <c r="X113">
        <v>99.25</v>
      </c>
      <c r="Y113">
        <v>98.65</v>
      </c>
      <c r="Z113">
        <v>98.69</v>
      </c>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95.15</v>
      </c>
      <c r="D114">
        <v>95.07</v>
      </c>
      <c r="E114">
        <v>95.93</v>
      </c>
      <c r="F114">
        <v>95.495886431867092</v>
      </c>
      <c r="G114">
        <v>96.150599503858885</v>
      </c>
      <c r="H114">
        <v>96.232283399607297</v>
      </c>
      <c r="I114">
        <v>96.465735740936069</v>
      </c>
      <c r="J114">
        <v>96.48</v>
      </c>
      <c r="K114">
        <v>94.2</v>
      </c>
      <c r="L114">
        <v>94.63</v>
      </c>
      <c r="M114">
        <v>96.18</v>
      </c>
      <c r="N114">
        <v>95.17</v>
      </c>
      <c r="O114">
        <v>96.85</v>
      </c>
      <c r="P114">
        <v>96.66</v>
      </c>
      <c r="Q114">
        <v>97.53</v>
      </c>
      <c r="R114">
        <v>98.340343818580834</v>
      </c>
      <c r="S114">
        <v>98.404309677796107</v>
      </c>
      <c r="T114">
        <v>98.066708549888602</v>
      </c>
      <c r="U114">
        <v>95.313599220737061</v>
      </c>
      <c r="V114">
        <v>96.37</v>
      </c>
      <c r="W114">
        <v>82.71</v>
      </c>
      <c r="X114">
        <v>90.25</v>
      </c>
      <c r="Y114">
        <v>95.01</v>
      </c>
      <c r="Z114">
        <v>93.65</v>
      </c>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96.3</v>
      </c>
      <c r="D115">
        <v>95.67</v>
      </c>
      <c r="E115">
        <v>95.8</v>
      </c>
      <c r="F115">
        <v>96.217723662259402</v>
      </c>
      <c r="G115">
        <v>96.086679112413449</v>
      </c>
      <c r="H115">
        <v>95.840292511172294</v>
      </c>
      <c r="I115">
        <v>95.869301106208837</v>
      </c>
      <c r="J115">
        <v>95.52</v>
      </c>
      <c r="K115">
        <v>92.72</v>
      </c>
      <c r="L115">
        <v>94.16</v>
      </c>
      <c r="M115">
        <v>94.8</v>
      </c>
      <c r="N115">
        <v>94.55</v>
      </c>
      <c r="O115">
        <v>98.49</v>
      </c>
      <c r="P115">
        <v>98.53</v>
      </c>
      <c r="Q115">
        <v>98.49</v>
      </c>
      <c r="R115">
        <v>98.874882800291701</v>
      </c>
      <c r="S115">
        <v>98.957698531111433</v>
      </c>
      <c r="T115">
        <v>98.027961736571001</v>
      </c>
      <c r="U115">
        <v>97.38077434363575</v>
      </c>
      <c r="V115">
        <v>97.49</v>
      </c>
      <c r="W115">
        <v>93.07</v>
      </c>
      <c r="X115">
        <v>94.15</v>
      </c>
      <c r="Y115">
        <v>97.14</v>
      </c>
      <c r="Z115">
        <v>96.87</v>
      </c>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97.71</v>
      </c>
      <c r="D116">
        <v>97.5</v>
      </c>
      <c r="E116">
        <v>97.3</v>
      </c>
      <c r="F116">
        <v>97.3507657942626</v>
      </c>
      <c r="G116">
        <v>97.444697842105654</v>
      </c>
      <c r="H116">
        <v>97.718717919470706</v>
      </c>
      <c r="I116">
        <v>97.337621969348859</v>
      </c>
      <c r="J116">
        <v>97.57</v>
      </c>
      <c r="K116">
        <v>95.35</v>
      </c>
      <c r="L116">
        <v>96.72</v>
      </c>
      <c r="M116">
        <v>96.63</v>
      </c>
      <c r="N116">
        <v>96.69</v>
      </c>
      <c r="O116">
        <v>95.37</v>
      </c>
      <c r="P116">
        <v>95.72</v>
      </c>
      <c r="Q116">
        <v>96.28</v>
      </c>
      <c r="R116">
        <v>94.097636317425554</v>
      </c>
      <c r="S116">
        <v>97.664827296507738</v>
      </c>
      <c r="T116">
        <v>96.805117886024505</v>
      </c>
      <c r="U116">
        <v>96.036784444605672</v>
      </c>
      <c r="V116">
        <v>96.67</v>
      </c>
      <c r="W116">
        <v>89.07</v>
      </c>
      <c r="X116">
        <v>95.07</v>
      </c>
      <c r="Y116">
        <v>91.94</v>
      </c>
      <c r="Z116">
        <v>92.74</v>
      </c>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98.71</v>
      </c>
      <c r="D117">
        <v>98.69</v>
      </c>
      <c r="E117">
        <v>98.69</v>
      </c>
      <c r="F117">
        <v>98.751014359806661</v>
      </c>
      <c r="G117">
        <v>98.76851805562498</v>
      </c>
      <c r="H117">
        <v>98.112555743985894</v>
      </c>
      <c r="I117">
        <v>98.707478996533695</v>
      </c>
      <c r="J117">
        <v>98.87</v>
      </c>
      <c r="K117">
        <v>96.93</v>
      </c>
      <c r="L117">
        <v>98.09</v>
      </c>
      <c r="M117">
        <v>98.52</v>
      </c>
      <c r="N117">
        <v>98.48</v>
      </c>
      <c r="O117">
        <v>97.92</v>
      </c>
      <c r="P117">
        <v>98.55</v>
      </c>
      <c r="Q117">
        <v>98.56</v>
      </c>
      <c r="R117">
        <v>98.280595785572103</v>
      </c>
      <c r="S117">
        <v>98.452907174430464</v>
      </c>
      <c r="T117">
        <v>97.390292553191401</v>
      </c>
      <c r="U117">
        <v>98.491500247565597</v>
      </c>
      <c r="V117">
        <v>98.64</v>
      </c>
      <c r="W117">
        <v>85.58</v>
      </c>
      <c r="X117">
        <v>92.36</v>
      </c>
      <c r="Y117">
        <v>95.09</v>
      </c>
      <c r="Z117">
        <v>96.02</v>
      </c>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96.99</v>
      </c>
      <c r="D118">
        <v>96.06</v>
      </c>
      <c r="E118">
        <v>95.44</v>
      </c>
      <c r="F118">
        <v>95.391118354043584</v>
      </c>
      <c r="G118">
        <v>95.26110072588672</v>
      </c>
      <c r="H118">
        <v>95.736984294152606</v>
      </c>
      <c r="I118">
        <v>95.675885408807744</v>
      </c>
      <c r="J118">
        <v>95.19</v>
      </c>
      <c r="K118">
        <v>93.19</v>
      </c>
      <c r="L118">
        <v>91.6</v>
      </c>
      <c r="M118">
        <v>92.14</v>
      </c>
      <c r="N118">
        <v>92.48</v>
      </c>
      <c r="O118">
        <v>98.03</v>
      </c>
      <c r="P118">
        <v>98.53</v>
      </c>
      <c r="Q118">
        <v>98</v>
      </c>
      <c r="R118">
        <v>98.543349078165477</v>
      </c>
      <c r="S118">
        <v>98.41570671325772</v>
      </c>
      <c r="T118">
        <v>98.888820864454502</v>
      </c>
      <c r="U118">
        <v>99.500210754501111</v>
      </c>
      <c r="V118">
        <v>98.62</v>
      </c>
      <c r="W118">
        <v>96.38</v>
      </c>
      <c r="X118">
        <v>96.46</v>
      </c>
      <c r="Y118">
        <v>98.22</v>
      </c>
      <c r="Z118">
        <v>98.74</v>
      </c>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96.61</v>
      </c>
      <c r="D119">
        <v>96.33</v>
      </c>
      <c r="E119">
        <v>96.43</v>
      </c>
      <c r="F119">
        <v>96.222034613761082</v>
      </c>
      <c r="G119">
        <v>96.246583257405717</v>
      </c>
      <c r="H119">
        <v>95.065679384203406</v>
      </c>
      <c r="I119">
        <v>93.869273874368119</v>
      </c>
      <c r="J119">
        <v>94.6</v>
      </c>
      <c r="K119">
        <v>93.29</v>
      </c>
      <c r="L119">
        <v>94.98</v>
      </c>
      <c r="M119">
        <v>94.51</v>
      </c>
      <c r="N119">
        <v>94.41</v>
      </c>
      <c r="O119">
        <v>97.35</v>
      </c>
      <c r="P119">
        <v>97.83</v>
      </c>
      <c r="Q119">
        <v>98.51</v>
      </c>
      <c r="R119">
        <v>98.253394906497192</v>
      </c>
      <c r="S119">
        <v>98.800775438438308</v>
      </c>
      <c r="T119">
        <v>98.472385428907103</v>
      </c>
      <c r="U119">
        <v>97.602213341530899</v>
      </c>
      <c r="V119">
        <v>97.41</v>
      </c>
      <c r="W119">
        <v>93.47</v>
      </c>
      <c r="X119">
        <v>94.82</v>
      </c>
      <c r="Y119">
        <v>97.17</v>
      </c>
      <c r="Z119">
        <v>97.45</v>
      </c>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97.47</v>
      </c>
      <c r="D120">
        <v>97.06</v>
      </c>
      <c r="E120">
        <v>97</v>
      </c>
      <c r="F120">
        <v>97.127437325905291</v>
      </c>
      <c r="G120">
        <v>97.230897009966782</v>
      </c>
      <c r="H120">
        <v>96.803010419466503</v>
      </c>
      <c r="I120">
        <v>96.822188201370423</v>
      </c>
      <c r="J120">
        <v>96.98</v>
      </c>
      <c r="K120">
        <v>95.96</v>
      </c>
      <c r="L120">
        <v>95.9</v>
      </c>
      <c r="M120">
        <v>96.36</v>
      </c>
      <c r="N120">
        <v>96.28</v>
      </c>
      <c r="O120">
        <v>98.88</v>
      </c>
      <c r="P120">
        <v>98.95</v>
      </c>
      <c r="Q120">
        <v>99.03</v>
      </c>
      <c r="R120">
        <v>99.057178497867767</v>
      </c>
      <c r="S120">
        <v>98.762607000593277</v>
      </c>
      <c r="T120">
        <v>99.429864771945901</v>
      </c>
      <c r="U120">
        <v>99.202685690306339</v>
      </c>
      <c r="V120">
        <v>99.28</v>
      </c>
      <c r="W120">
        <v>94.95</v>
      </c>
      <c r="X120">
        <v>95.24</v>
      </c>
      <c r="Y120">
        <v>97.37</v>
      </c>
      <c r="Z120">
        <v>98.27</v>
      </c>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96.98</v>
      </c>
      <c r="D121">
        <v>97.14</v>
      </c>
      <c r="E121">
        <v>97.17</v>
      </c>
      <c r="F121">
        <v>96.765970515970508</v>
      </c>
      <c r="G121">
        <v>96.850650796242149</v>
      </c>
      <c r="H121">
        <v>97.072948609401493</v>
      </c>
      <c r="I121">
        <v>96.985061421717091</v>
      </c>
      <c r="J121">
        <v>96.94</v>
      </c>
      <c r="K121">
        <v>96.19</v>
      </c>
      <c r="L121">
        <v>96.43</v>
      </c>
      <c r="M121">
        <v>96.48</v>
      </c>
      <c r="N121">
        <v>96.28</v>
      </c>
      <c r="O121">
        <v>96.14</v>
      </c>
      <c r="P121">
        <v>97.42</v>
      </c>
      <c r="Q121">
        <v>97.23</v>
      </c>
      <c r="R121">
        <v>98.530225936569039</v>
      </c>
      <c r="S121">
        <v>98.638528728471499</v>
      </c>
      <c r="T121">
        <v>98.758140239285098</v>
      </c>
      <c r="U121">
        <v>99.036816886031417</v>
      </c>
      <c r="V121">
        <v>98.49</v>
      </c>
      <c r="W121">
        <v>98.58</v>
      </c>
      <c r="X121">
        <v>98.32</v>
      </c>
      <c r="Y121">
        <v>98.39</v>
      </c>
      <c r="Z121">
        <v>99.15</v>
      </c>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98.61</v>
      </c>
      <c r="D122">
        <v>98.4</v>
      </c>
      <c r="E122">
        <v>98.12</v>
      </c>
      <c r="F122">
        <v>97.903550089200593</v>
      </c>
      <c r="G122">
        <v>97.96647282647713</v>
      </c>
      <c r="H122">
        <v>98.263005978970497</v>
      </c>
      <c r="I122">
        <v>98.161737875335504</v>
      </c>
      <c r="J122">
        <v>98</v>
      </c>
      <c r="K122">
        <v>97.62</v>
      </c>
      <c r="L122">
        <v>98.03</v>
      </c>
      <c r="M122">
        <v>97.73</v>
      </c>
      <c r="N122">
        <v>97.41</v>
      </c>
      <c r="O122">
        <v>99.1</v>
      </c>
      <c r="P122">
        <v>98.45</v>
      </c>
      <c r="Q122">
        <v>98.9</v>
      </c>
      <c r="R122">
        <v>98.528814110379585</v>
      </c>
      <c r="S122">
        <v>98.592772415970956</v>
      </c>
      <c r="T122">
        <v>98.635039533915901</v>
      </c>
      <c r="U122">
        <v>98.240167759708882</v>
      </c>
      <c r="V122">
        <v>97.78</v>
      </c>
      <c r="W122">
        <v>94.05</v>
      </c>
      <c r="X122">
        <v>96.17</v>
      </c>
      <c r="Y122">
        <v>96.37</v>
      </c>
      <c r="Z122">
        <v>96.67</v>
      </c>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97.97</v>
      </c>
      <c r="D123">
        <v>97.66</v>
      </c>
      <c r="E123">
        <v>98.15</v>
      </c>
      <c r="F123">
        <v>98.275891298082627</v>
      </c>
      <c r="G123">
        <v>98.454549863399023</v>
      </c>
      <c r="H123">
        <v>98.253929423276801</v>
      </c>
      <c r="I123">
        <v>97.956715377281981</v>
      </c>
      <c r="J123">
        <v>97.99</v>
      </c>
      <c r="K123">
        <v>97.7</v>
      </c>
      <c r="L123">
        <v>96.62</v>
      </c>
      <c r="M123">
        <v>96.56</v>
      </c>
      <c r="N123">
        <v>96.09</v>
      </c>
      <c r="O123">
        <v>98.15</v>
      </c>
      <c r="P123">
        <v>98.39</v>
      </c>
      <c r="Q123">
        <v>98.49</v>
      </c>
      <c r="R123">
        <v>98.684734954165009</v>
      </c>
      <c r="S123">
        <v>99.087542157207594</v>
      </c>
      <c r="T123">
        <v>99.646947567510693</v>
      </c>
      <c r="U123">
        <v>98.272182549454158</v>
      </c>
      <c r="V123">
        <v>98.31</v>
      </c>
      <c r="W123">
        <v>95.15</v>
      </c>
      <c r="X123">
        <v>96.18</v>
      </c>
      <c r="Y123">
        <v>95.55</v>
      </c>
      <c r="Z123">
        <v>95.78</v>
      </c>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98.38</v>
      </c>
      <c r="D124">
        <v>98.24</v>
      </c>
      <c r="E124">
        <v>98.55</v>
      </c>
      <c r="F124">
        <v>98.67675675675676</v>
      </c>
      <c r="G124">
        <v>98.408827905438912</v>
      </c>
      <c r="H124">
        <v>98.353779184804097</v>
      </c>
      <c r="I124">
        <v>98.428763140237081</v>
      </c>
      <c r="J124">
        <v>98.41</v>
      </c>
      <c r="K124">
        <v>97.84</v>
      </c>
      <c r="L124">
        <v>98.1</v>
      </c>
      <c r="M124">
        <v>97.87</v>
      </c>
      <c r="N124">
        <v>98.28</v>
      </c>
      <c r="O124">
        <v>98.58</v>
      </c>
      <c r="P124">
        <v>98.61</v>
      </c>
      <c r="Q124">
        <v>98.16</v>
      </c>
      <c r="R124">
        <v>98.43989976558079</v>
      </c>
      <c r="S124">
        <v>98.514870986803231</v>
      </c>
      <c r="T124">
        <v>98.735234458895107</v>
      </c>
      <c r="U124">
        <v>99.086516684282046</v>
      </c>
      <c r="V124">
        <v>98.39</v>
      </c>
      <c r="W124">
        <v>98.12</v>
      </c>
      <c r="X124">
        <v>98.7</v>
      </c>
      <c r="Y124">
        <v>98.8</v>
      </c>
      <c r="Z124">
        <v>98.68</v>
      </c>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97.31</v>
      </c>
      <c r="D125">
        <v>97.88</v>
      </c>
      <c r="E125">
        <v>97.31</v>
      </c>
      <c r="F125">
        <v>95.121631115331468</v>
      </c>
      <c r="G125">
        <v>97.28751169175996</v>
      </c>
      <c r="H125">
        <v>97.313974859572298</v>
      </c>
      <c r="I125">
        <v>97.146166352531552</v>
      </c>
      <c r="J125">
        <v>96.81</v>
      </c>
      <c r="K125">
        <v>95.6</v>
      </c>
      <c r="L125">
        <v>96.39</v>
      </c>
      <c r="M125">
        <v>97.01</v>
      </c>
      <c r="N125">
        <v>96.3</v>
      </c>
      <c r="O125">
        <v>98.76</v>
      </c>
      <c r="P125">
        <v>99.08</v>
      </c>
      <c r="Q125">
        <v>98.69</v>
      </c>
      <c r="R125">
        <v>99.302454078676064</v>
      </c>
      <c r="S125">
        <v>98.749960566579389</v>
      </c>
      <c r="T125">
        <v>99.239520958083801</v>
      </c>
      <c r="U125">
        <v>99.110017430534185</v>
      </c>
      <c r="V125">
        <v>98.98</v>
      </c>
      <c r="W125">
        <v>94.8</v>
      </c>
      <c r="X125">
        <v>96.69</v>
      </c>
      <c r="Y125">
        <v>97.15</v>
      </c>
      <c r="Z125">
        <v>97.22</v>
      </c>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98.16</v>
      </c>
      <c r="D126">
        <v>97.99</v>
      </c>
      <c r="E126">
        <v>97.99</v>
      </c>
      <c r="F126">
        <v>97.733480989294947</v>
      </c>
      <c r="G126">
        <v>98.090169067000616</v>
      </c>
      <c r="H126">
        <v>98.1000330141961</v>
      </c>
      <c r="I126">
        <v>98.112509822652953</v>
      </c>
      <c r="J126">
        <v>97.93</v>
      </c>
      <c r="K126">
        <v>97.24</v>
      </c>
      <c r="L126">
        <v>97.46</v>
      </c>
      <c r="M126">
        <v>97.74</v>
      </c>
      <c r="N126">
        <v>97.52</v>
      </c>
      <c r="O126">
        <v>97.61</v>
      </c>
      <c r="P126">
        <v>97.89</v>
      </c>
      <c r="Q126">
        <v>98.42</v>
      </c>
      <c r="R126">
        <v>98.536910514914183</v>
      </c>
      <c r="S126">
        <v>98.927012609117355</v>
      </c>
      <c r="T126">
        <v>98.847849217206203</v>
      </c>
      <c r="U126">
        <v>99.227845449375991</v>
      </c>
      <c r="V126">
        <v>98.53</v>
      </c>
      <c r="W126">
        <v>90.49</v>
      </c>
      <c r="X126">
        <v>97.27</v>
      </c>
      <c r="Y126">
        <v>98.15</v>
      </c>
      <c r="Z126">
        <v>98.45</v>
      </c>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98.59</v>
      </c>
      <c r="D127">
        <v>98.36</v>
      </c>
      <c r="E127">
        <v>98.66</v>
      </c>
      <c r="F127">
        <v>98.663740832707745</v>
      </c>
      <c r="G127">
        <v>98.744138589788122</v>
      </c>
      <c r="H127">
        <v>98.834223500410801</v>
      </c>
      <c r="I127">
        <v>98.568312626713933</v>
      </c>
      <c r="J127">
        <v>98.53</v>
      </c>
      <c r="K127">
        <v>98.31</v>
      </c>
      <c r="L127">
        <v>98.49</v>
      </c>
      <c r="M127">
        <v>98.33</v>
      </c>
      <c r="N127">
        <v>98.36</v>
      </c>
      <c r="O127">
        <v>97.49</v>
      </c>
      <c r="P127">
        <v>96.92</v>
      </c>
      <c r="Q127">
        <v>97.42</v>
      </c>
      <c r="R127">
        <v>97.466962928312469</v>
      </c>
      <c r="S127">
        <v>97.456480355955151</v>
      </c>
      <c r="T127">
        <v>97.470571748878896</v>
      </c>
      <c r="U127">
        <v>96.335447498238196</v>
      </c>
      <c r="V127">
        <v>97.56</v>
      </c>
      <c r="W127">
        <v>94.97</v>
      </c>
      <c r="X127">
        <v>97.42</v>
      </c>
      <c r="Y127">
        <v>96.92</v>
      </c>
      <c r="Z127">
        <v>97.86</v>
      </c>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97.78</v>
      </c>
      <c r="D128">
        <v>96.65</v>
      </c>
      <c r="E128">
        <v>97.75</v>
      </c>
      <c r="F128">
        <v>97.765234623823332</v>
      </c>
      <c r="G128">
        <v>96.790600858742891</v>
      </c>
      <c r="H128">
        <v>97.828372728401703</v>
      </c>
      <c r="I128">
        <v>98.086693500744374</v>
      </c>
      <c r="J128">
        <v>98.15</v>
      </c>
      <c r="K128">
        <v>95.83</v>
      </c>
      <c r="L128">
        <v>96.37</v>
      </c>
      <c r="M128">
        <v>97.47</v>
      </c>
      <c r="N128">
        <v>97.27</v>
      </c>
      <c r="O128">
        <v>98.36</v>
      </c>
      <c r="P128">
        <v>99.13</v>
      </c>
      <c r="Q128">
        <v>99.39</v>
      </c>
      <c r="R128">
        <v>99.613064408019014</v>
      </c>
      <c r="S128">
        <v>99.893550856377374</v>
      </c>
      <c r="T128">
        <v>99.759046582522402</v>
      </c>
      <c r="U128">
        <v>99.882578212168013</v>
      </c>
      <c r="V128">
        <v>99.88</v>
      </c>
      <c r="W128">
        <v>93.5</v>
      </c>
      <c r="X128">
        <v>97.71</v>
      </c>
      <c r="Y128">
        <v>99.48</v>
      </c>
      <c r="Z128">
        <v>98.07</v>
      </c>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98.57</v>
      </c>
      <c r="D129">
        <v>98.28</v>
      </c>
      <c r="E129">
        <v>98.37</v>
      </c>
      <c r="F129">
        <v>98.525611955409772</v>
      </c>
      <c r="G129">
        <v>98.578571428571422</v>
      </c>
      <c r="H129">
        <v>98.504895869576004</v>
      </c>
      <c r="I129">
        <v>97.894440005639893</v>
      </c>
      <c r="J129">
        <v>98.1</v>
      </c>
      <c r="K129">
        <v>97.87</v>
      </c>
      <c r="L129">
        <v>97.84</v>
      </c>
      <c r="M129">
        <v>97.86</v>
      </c>
      <c r="N129">
        <v>97.8</v>
      </c>
      <c r="O129">
        <v>98.56</v>
      </c>
      <c r="P129">
        <v>98.77</v>
      </c>
      <c r="Q129">
        <v>98.83</v>
      </c>
      <c r="R129">
        <v>98.991975595198625</v>
      </c>
      <c r="S129">
        <v>99.010843606790161</v>
      </c>
      <c r="T129">
        <v>98.954715468875193</v>
      </c>
      <c r="U129">
        <v>93.967093235831811</v>
      </c>
      <c r="V129">
        <v>98.88</v>
      </c>
      <c r="W129">
        <v>97.82</v>
      </c>
      <c r="X129">
        <v>98.91</v>
      </c>
      <c r="Y129">
        <v>99.12</v>
      </c>
      <c r="Z129">
        <v>99.38</v>
      </c>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95.39</v>
      </c>
      <c r="D130">
        <v>94.44</v>
      </c>
      <c r="E130">
        <v>94.72</v>
      </c>
      <c r="F130">
        <v>94.821309386566341</v>
      </c>
      <c r="G130">
        <v>94.75972474158533</v>
      </c>
      <c r="H130">
        <v>94.898407468423898</v>
      </c>
      <c r="I130">
        <v>94.779271622108894</v>
      </c>
      <c r="J130">
        <v>94.89</v>
      </c>
      <c r="K130">
        <v>93.34</v>
      </c>
      <c r="L130">
        <v>93.79</v>
      </c>
      <c r="M130">
        <v>94.44</v>
      </c>
      <c r="N130">
        <v>94.37</v>
      </c>
      <c r="O130">
        <v>91.49</v>
      </c>
      <c r="P130">
        <v>94.32</v>
      </c>
      <c r="Q130">
        <v>94.99</v>
      </c>
      <c r="R130">
        <v>95.152530098669317</v>
      </c>
      <c r="S130">
        <v>93.841062448962049</v>
      </c>
      <c r="T130">
        <v>96.344509559035401</v>
      </c>
      <c r="U130">
        <v>96.803192000769158</v>
      </c>
      <c r="V130">
        <v>97.21</v>
      </c>
      <c r="W130">
        <v>89.32</v>
      </c>
      <c r="X130">
        <v>97.18</v>
      </c>
      <c r="Y130">
        <v>97.73</v>
      </c>
      <c r="Z130">
        <v>98.07</v>
      </c>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96.13</v>
      </c>
      <c r="D131">
        <v>95.94</v>
      </c>
      <c r="E131">
        <v>96.17</v>
      </c>
      <c r="F131">
        <v>96.206522810129087</v>
      </c>
      <c r="G131">
        <v>96.370500801091382</v>
      </c>
      <c r="H131">
        <v>96.178665361795794</v>
      </c>
      <c r="I131">
        <v>96.191484117894362</v>
      </c>
      <c r="J131">
        <v>95.86</v>
      </c>
      <c r="K131">
        <v>94.93</v>
      </c>
      <c r="L131">
        <v>95.09</v>
      </c>
      <c r="M131">
        <v>95.26</v>
      </c>
      <c r="N131">
        <v>95.44</v>
      </c>
      <c r="O131">
        <v>97.15</v>
      </c>
      <c r="P131">
        <v>97.48</v>
      </c>
      <c r="Q131">
        <v>98.41</v>
      </c>
      <c r="R131">
        <v>98.335389480634575</v>
      </c>
      <c r="S131">
        <v>97.79193351762504</v>
      </c>
      <c r="T131">
        <v>97.666317117821606</v>
      </c>
      <c r="U131">
        <v>97.759963513892785</v>
      </c>
      <c r="V131">
        <v>97.41</v>
      </c>
      <c r="W131">
        <v>94.07</v>
      </c>
      <c r="X131">
        <v>96.81</v>
      </c>
      <c r="Y131">
        <v>97.68</v>
      </c>
      <c r="Z131">
        <v>96.62</v>
      </c>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97.83</v>
      </c>
      <c r="D132">
        <v>97.7</v>
      </c>
      <c r="E132">
        <v>97.64</v>
      </c>
      <c r="F132">
        <v>97.743736505219047</v>
      </c>
      <c r="G132">
        <v>97.583049149834252</v>
      </c>
      <c r="H132">
        <v>97.4004234704623</v>
      </c>
      <c r="I132">
        <v>96.983261969637994</v>
      </c>
      <c r="J132">
        <v>96.67</v>
      </c>
      <c r="K132">
        <v>96.27</v>
      </c>
      <c r="L132">
        <v>96.64</v>
      </c>
      <c r="M132">
        <v>96.19</v>
      </c>
      <c r="N132">
        <v>95.71</v>
      </c>
      <c r="O132">
        <v>98.37</v>
      </c>
      <c r="P132">
        <v>97.7</v>
      </c>
      <c r="Q132">
        <v>97.88</v>
      </c>
      <c r="R132">
        <v>97.834097493741396</v>
      </c>
      <c r="S132">
        <v>97.937863866369227</v>
      </c>
      <c r="T132">
        <v>98.191910754223798</v>
      </c>
      <c r="U132">
        <v>97.504193564784231</v>
      </c>
      <c r="V132">
        <v>98.65</v>
      </c>
      <c r="W132">
        <v>96.62</v>
      </c>
      <c r="X132">
        <v>97.01</v>
      </c>
      <c r="Y132">
        <v>97.09</v>
      </c>
      <c r="Z132">
        <v>96.89</v>
      </c>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97.56</v>
      </c>
      <c r="D133">
        <v>97.64</v>
      </c>
      <c r="E133">
        <v>97.9</v>
      </c>
      <c r="F133">
        <v>96.458583433373349</v>
      </c>
      <c r="G133">
        <v>97.588334268087493</v>
      </c>
      <c r="H133">
        <v>92.436040044493794</v>
      </c>
      <c r="I133">
        <v>98.352816153028684</v>
      </c>
      <c r="J133">
        <v>98.31</v>
      </c>
      <c r="K133">
        <v>98.26</v>
      </c>
      <c r="L133">
        <v>98.04</v>
      </c>
      <c r="M133">
        <v>97.25</v>
      </c>
      <c r="N133">
        <v>97.15</v>
      </c>
      <c r="O133">
        <v>93.49</v>
      </c>
      <c r="P133">
        <v>87.35</v>
      </c>
      <c r="Q133">
        <v>98.83</v>
      </c>
      <c r="R133">
        <v>94.485749690210653</v>
      </c>
      <c r="S133">
        <v>90.164935858277346</v>
      </c>
      <c r="T133">
        <v>91.693705386112896</v>
      </c>
      <c r="U133">
        <v>97.288573273079407</v>
      </c>
      <c r="V133">
        <v>98.55</v>
      </c>
      <c r="W133">
        <v>94.23</v>
      </c>
      <c r="X133">
        <v>97.48</v>
      </c>
      <c r="Y133">
        <v>99.6</v>
      </c>
      <c r="Z133">
        <v>99.44</v>
      </c>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97.43</v>
      </c>
      <c r="D134">
        <v>95.78</v>
      </c>
      <c r="E134">
        <v>95.56</v>
      </c>
      <c r="F134">
        <v>95.578493924493031</v>
      </c>
      <c r="G134">
        <v>96.185512574803454</v>
      </c>
      <c r="H134">
        <v>96.213804322565593</v>
      </c>
      <c r="I134">
        <v>96.065805827924322</v>
      </c>
      <c r="J134">
        <v>95.33</v>
      </c>
      <c r="K134">
        <v>93.67</v>
      </c>
      <c r="L134">
        <v>94.1</v>
      </c>
      <c r="M134">
        <v>94.37</v>
      </c>
      <c r="N134">
        <v>94.32</v>
      </c>
      <c r="O134">
        <v>97.54</v>
      </c>
      <c r="P134">
        <v>98.16</v>
      </c>
      <c r="Q134">
        <v>96.31</v>
      </c>
      <c r="R134">
        <v>97.000182739749746</v>
      </c>
      <c r="S134">
        <v>97.133750563353445</v>
      </c>
      <c r="T134">
        <v>97.177186935446997</v>
      </c>
      <c r="U134">
        <v>96.566802678024644</v>
      </c>
      <c r="V134">
        <v>96.72</v>
      </c>
      <c r="W134">
        <v>92.98</v>
      </c>
      <c r="X134">
        <v>93.57</v>
      </c>
      <c r="Y134">
        <v>94.61</v>
      </c>
      <c r="Z134">
        <v>95.31</v>
      </c>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96.29</v>
      </c>
      <c r="D135">
        <v>97.04</v>
      </c>
      <c r="E135">
        <v>97.04</v>
      </c>
      <c r="F135">
        <v>96.899879951980793</v>
      </c>
      <c r="G135">
        <v>97.384944322436468</v>
      </c>
      <c r="H135">
        <v>97.419013018467993</v>
      </c>
      <c r="I135">
        <v>97.975261112893449</v>
      </c>
      <c r="J135">
        <v>97.35</v>
      </c>
      <c r="K135">
        <v>92.63</v>
      </c>
      <c r="L135">
        <v>95.3</v>
      </c>
      <c r="M135">
        <v>95.96</v>
      </c>
      <c r="N135">
        <v>97.35</v>
      </c>
      <c r="O135">
        <v>99.19</v>
      </c>
      <c r="P135">
        <v>99.17</v>
      </c>
      <c r="Q135">
        <v>99.08</v>
      </c>
      <c r="R135">
        <v>99.109990435614293</v>
      </c>
      <c r="S135">
        <v>98.919076732843308</v>
      </c>
      <c r="T135">
        <v>99.249480525756198</v>
      </c>
      <c r="U135">
        <v>99.17277239423305</v>
      </c>
      <c r="V135">
        <v>97.19</v>
      </c>
      <c r="W135">
        <v>80.25</v>
      </c>
      <c r="X135">
        <v>91.55</v>
      </c>
      <c r="Y135">
        <v>96.59</v>
      </c>
      <c r="Z135">
        <v>94.6</v>
      </c>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97.5</v>
      </c>
      <c r="D136">
        <v>97.07</v>
      </c>
      <c r="E136">
        <v>97.22</v>
      </c>
      <c r="F136">
        <v>97.602813852813853</v>
      </c>
      <c r="G136">
        <v>97.691516709511575</v>
      </c>
      <c r="H136">
        <v>97.688526178137195</v>
      </c>
      <c r="I136">
        <v>97.70719108251393</v>
      </c>
      <c r="J136">
        <v>97.52</v>
      </c>
      <c r="K136">
        <v>97.2</v>
      </c>
      <c r="L136">
        <v>97.46</v>
      </c>
      <c r="M136">
        <v>97.34</v>
      </c>
      <c r="N136">
        <v>97.16</v>
      </c>
      <c r="O136">
        <v>94.52</v>
      </c>
      <c r="P136">
        <v>97.28</v>
      </c>
      <c r="Q136">
        <v>98.53</v>
      </c>
      <c r="R136">
        <v>98.53642600457367</v>
      </c>
      <c r="S136">
        <v>99.098907638032898</v>
      </c>
      <c r="T136">
        <v>99.141958670260493</v>
      </c>
      <c r="U136">
        <v>99.031814864110601</v>
      </c>
      <c r="V136">
        <v>98.05</v>
      </c>
      <c r="W136">
        <v>97.59</v>
      </c>
      <c r="X136">
        <v>98.23</v>
      </c>
      <c r="Y136">
        <v>98.14</v>
      </c>
      <c r="Z136">
        <v>99.1</v>
      </c>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95.75</v>
      </c>
      <c r="D137">
        <v>94.21</v>
      </c>
      <c r="E137">
        <v>93.63</v>
      </c>
      <c r="F137">
        <v>93.64667093621766</v>
      </c>
      <c r="G137">
        <v>93.844959146464987</v>
      </c>
      <c r="H137">
        <v>93.701673732602501</v>
      </c>
      <c r="I137">
        <v>93.708638663418569</v>
      </c>
      <c r="J137">
        <v>93.44</v>
      </c>
      <c r="K137">
        <v>93.28</v>
      </c>
      <c r="L137">
        <v>92.9</v>
      </c>
      <c r="M137">
        <v>92.95</v>
      </c>
      <c r="N137">
        <v>92.43</v>
      </c>
      <c r="O137">
        <v>97.22</v>
      </c>
      <c r="P137">
        <v>96.87</v>
      </c>
      <c r="Q137">
        <v>97.19</v>
      </c>
      <c r="R137">
        <v>97.311648805236956</v>
      </c>
      <c r="S137">
        <v>97.698573460328404</v>
      </c>
      <c r="T137">
        <v>95.990611066811894</v>
      </c>
      <c r="U137">
        <v>98.276557145736746</v>
      </c>
      <c r="V137">
        <v>97.28</v>
      </c>
      <c r="W137">
        <v>93.19</v>
      </c>
      <c r="X137">
        <v>94.62</v>
      </c>
      <c r="Y137">
        <v>96.13</v>
      </c>
      <c r="Z137">
        <v>96.01</v>
      </c>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98.68</v>
      </c>
      <c r="D138">
        <v>98.62</v>
      </c>
      <c r="E138">
        <v>98.51</v>
      </c>
      <c r="F138">
        <v>98.855361054646636</v>
      </c>
      <c r="G138">
        <v>99.021058842876073</v>
      </c>
      <c r="H138">
        <v>99.007508018048597</v>
      </c>
      <c r="I138">
        <v>98.953224177726483</v>
      </c>
      <c r="J138">
        <v>98.7</v>
      </c>
      <c r="K138">
        <v>97.24</v>
      </c>
      <c r="L138">
        <v>98.23</v>
      </c>
      <c r="M138">
        <v>98.79</v>
      </c>
      <c r="N138">
        <v>98.57</v>
      </c>
      <c r="O138">
        <v>98.72</v>
      </c>
      <c r="P138">
        <v>97.66</v>
      </c>
      <c r="Q138">
        <v>98.15</v>
      </c>
      <c r="R138">
        <v>98.924118951875968</v>
      </c>
      <c r="S138">
        <v>97.434795236712162</v>
      </c>
      <c r="T138">
        <v>98.356151732736095</v>
      </c>
      <c r="U138">
        <v>98.90391186188387</v>
      </c>
      <c r="V138">
        <v>98.2</v>
      </c>
      <c r="W138">
        <v>91.04</v>
      </c>
      <c r="X138">
        <v>97</v>
      </c>
      <c r="Y138">
        <v>97.91</v>
      </c>
      <c r="Z138">
        <v>98.21</v>
      </c>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95.74</v>
      </c>
      <c r="D139">
        <v>94.82</v>
      </c>
      <c r="E139">
        <v>95.18</v>
      </c>
      <c r="F139">
        <v>95.573412700261443</v>
      </c>
      <c r="G139">
        <v>95.978710158664285</v>
      </c>
      <c r="H139">
        <v>95.781312715212195</v>
      </c>
      <c r="I139">
        <v>95.679060896238482</v>
      </c>
      <c r="J139">
        <v>95.41</v>
      </c>
      <c r="K139">
        <v>95.67</v>
      </c>
      <c r="L139">
        <v>95.78</v>
      </c>
      <c r="M139">
        <v>95.96</v>
      </c>
      <c r="N139">
        <v>95.22</v>
      </c>
      <c r="O139">
        <v>96.36</v>
      </c>
      <c r="P139">
        <v>96.52</v>
      </c>
      <c r="Q139">
        <v>96.65</v>
      </c>
      <c r="R139">
        <v>96.84967427751738</v>
      </c>
      <c r="S139">
        <v>96.523893741751877</v>
      </c>
      <c r="T139">
        <v>97.3631308007364</v>
      </c>
      <c r="U139">
        <v>97.168371884038976</v>
      </c>
      <c r="V139">
        <v>97.09</v>
      </c>
      <c r="W139">
        <v>80.319999999999993</v>
      </c>
      <c r="X139">
        <v>94.65</v>
      </c>
      <c r="Y139">
        <v>95.24</v>
      </c>
      <c r="Z139">
        <v>96.23</v>
      </c>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96.86</v>
      </c>
      <c r="D140">
        <v>94.66</v>
      </c>
      <c r="E140">
        <v>94.97</v>
      </c>
      <c r="F140">
        <v>94.888775349787764</v>
      </c>
      <c r="G140">
        <v>95.327570856210116</v>
      </c>
      <c r="H140">
        <v>95.327362355064906</v>
      </c>
      <c r="I140">
        <v>95.112836223074083</v>
      </c>
      <c r="J140">
        <v>94.73</v>
      </c>
      <c r="K140">
        <v>91.8</v>
      </c>
      <c r="L140">
        <v>89.27</v>
      </c>
      <c r="M140">
        <v>88.76</v>
      </c>
      <c r="N140">
        <v>86.99</v>
      </c>
      <c r="O140">
        <v>98.3</v>
      </c>
      <c r="P140">
        <v>98.62</v>
      </c>
      <c r="Q140">
        <v>99.15</v>
      </c>
      <c r="R140">
        <v>98.710038005812649</v>
      </c>
      <c r="S140">
        <v>98.43045843045843</v>
      </c>
      <c r="T140">
        <v>98.508775887740796</v>
      </c>
      <c r="U140">
        <v>98.526541978205103</v>
      </c>
      <c r="V140">
        <v>98.82</v>
      </c>
      <c r="W140">
        <v>95.61</v>
      </c>
      <c r="X140">
        <v>97.83</v>
      </c>
      <c r="Y140">
        <v>95.06</v>
      </c>
      <c r="Z140">
        <v>98.59</v>
      </c>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94.67</v>
      </c>
      <c r="D141">
        <v>94.54</v>
      </c>
      <c r="E141">
        <v>95</v>
      </c>
      <c r="F141">
        <v>95.201015260238776</v>
      </c>
      <c r="G141">
        <v>95.310317753904926</v>
      </c>
      <c r="H141">
        <v>95.133295519001706</v>
      </c>
      <c r="I141">
        <v>95.016942525739609</v>
      </c>
      <c r="J141">
        <v>95.03</v>
      </c>
      <c r="K141">
        <v>91.08</v>
      </c>
      <c r="L141">
        <v>93.16</v>
      </c>
      <c r="M141">
        <v>93.83</v>
      </c>
      <c r="N141">
        <v>93.73</v>
      </c>
      <c r="O141">
        <v>98.02</v>
      </c>
      <c r="P141">
        <v>98.16</v>
      </c>
      <c r="Q141">
        <v>98.5</v>
      </c>
      <c r="R141">
        <v>98.713206109294134</v>
      </c>
      <c r="S141">
        <v>98.976696738818575</v>
      </c>
      <c r="T141">
        <v>98.969100927669601</v>
      </c>
      <c r="U141">
        <v>98.975375247716642</v>
      </c>
      <c r="V141">
        <v>98</v>
      </c>
      <c r="W141">
        <v>90.18</v>
      </c>
      <c r="X141">
        <v>90.46</v>
      </c>
      <c r="Y141">
        <v>96.11</v>
      </c>
      <c r="Z141">
        <v>97.19</v>
      </c>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97.07</v>
      </c>
      <c r="D142">
        <v>96.84</v>
      </c>
      <c r="E142">
        <v>96.54</v>
      </c>
      <c r="F142">
        <v>96.505419834978156</v>
      </c>
      <c r="G142">
        <v>96.436303336455339</v>
      </c>
      <c r="H142">
        <v>96.043715846994502</v>
      </c>
      <c r="I142">
        <v>96.406940579472916</v>
      </c>
      <c r="J142">
        <v>95.89</v>
      </c>
      <c r="K142">
        <v>94.56</v>
      </c>
      <c r="L142">
        <v>94.14</v>
      </c>
      <c r="M142">
        <v>94.49</v>
      </c>
      <c r="N142">
        <v>94.41</v>
      </c>
      <c r="O142">
        <v>98.28</v>
      </c>
      <c r="P142">
        <v>98.35</v>
      </c>
      <c r="Q142">
        <v>98.72</v>
      </c>
      <c r="R142">
        <v>98.753450138005519</v>
      </c>
      <c r="S142">
        <v>99.011837057603032</v>
      </c>
      <c r="T142">
        <v>98.702804993437695</v>
      </c>
      <c r="U142">
        <v>98.378762238607521</v>
      </c>
      <c r="V142">
        <v>98.92</v>
      </c>
      <c r="W142">
        <v>97.15</v>
      </c>
      <c r="X142">
        <v>98.29</v>
      </c>
      <c r="Y142">
        <v>98.87</v>
      </c>
      <c r="Z142">
        <v>99.19</v>
      </c>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96.63</v>
      </c>
      <c r="D143">
        <v>95.73</v>
      </c>
      <c r="E143">
        <v>95.66</v>
      </c>
      <c r="F143">
        <v>95.884006549308225</v>
      </c>
      <c r="G143">
        <v>96.087675529711589</v>
      </c>
      <c r="H143">
        <v>96.099572706835204</v>
      </c>
      <c r="I143">
        <v>96.1140374937725</v>
      </c>
      <c r="J143">
        <v>95.93</v>
      </c>
      <c r="K143">
        <v>95.36</v>
      </c>
      <c r="L143">
        <v>94.55</v>
      </c>
      <c r="M143">
        <v>94.98</v>
      </c>
      <c r="N143">
        <v>94.01</v>
      </c>
      <c r="O143">
        <v>97.63</v>
      </c>
      <c r="P143">
        <v>97.05</v>
      </c>
      <c r="Q143">
        <v>97.34</v>
      </c>
      <c r="R143">
        <v>97.814264078204587</v>
      </c>
      <c r="S143">
        <v>97.538557048012891</v>
      </c>
      <c r="T143">
        <v>97.993578609400402</v>
      </c>
      <c r="U143">
        <v>97.755846131314101</v>
      </c>
      <c r="V143">
        <v>97.29</v>
      </c>
      <c r="W143">
        <v>90.21</v>
      </c>
      <c r="X143">
        <v>93.67</v>
      </c>
      <c r="Y143">
        <v>95.93</v>
      </c>
      <c r="Z143">
        <v>96.35</v>
      </c>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95.97</v>
      </c>
      <c r="D144">
        <v>94.81</v>
      </c>
      <c r="E144">
        <v>94.93</v>
      </c>
      <c r="F144">
        <v>94.996511790149299</v>
      </c>
      <c r="G144">
        <v>95.223938359779055</v>
      </c>
      <c r="H144">
        <v>95.276475791318404</v>
      </c>
      <c r="I144">
        <v>94.912877113282619</v>
      </c>
      <c r="J144">
        <v>94.7</v>
      </c>
      <c r="K144">
        <v>91.64</v>
      </c>
      <c r="L144">
        <v>92.97</v>
      </c>
      <c r="M144">
        <v>92.62</v>
      </c>
      <c r="N144">
        <v>92.6</v>
      </c>
      <c r="O144">
        <v>97.43</v>
      </c>
      <c r="P144">
        <v>96.99</v>
      </c>
      <c r="Q144">
        <v>97.56</v>
      </c>
      <c r="R144">
        <v>97.158571881881201</v>
      </c>
      <c r="S144">
        <v>96.707346656963182</v>
      </c>
      <c r="T144">
        <v>97.035924813702493</v>
      </c>
      <c r="U144">
        <v>97.533570105831942</v>
      </c>
      <c r="V144">
        <v>95.68</v>
      </c>
      <c r="W144">
        <v>89.66</v>
      </c>
      <c r="X144">
        <v>95.86</v>
      </c>
      <c r="Y144">
        <v>95.85</v>
      </c>
      <c r="Z144">
        <v>95</v>
      </c>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98.46</v>
      </c>
      <c r="D145">
        <v>98.37</v>
      </c>
      <c r="E145">
        <v>98.24</v>
      </c>
      <c r="F145">
        <v>98.237878214514879</v>
      </c>
      <c r="G145">
        <v>97.951623111001339</v>
      </c>
      <c r="H145">
        <v>97.9210985754316</v>
      </c>
      <c r="I145">
        <v>97.697141754637414</v>
      </c>
      <c r="J145">
        <v>97.34</v>
      </c>
      <c r="K145">
        <v>96.88</v>
      </c>
      <c r="L145">
        <v>97.41</v>
      </c>
      <c r="M145">
        <v>97.82</v>
      </c>
      <c r="N145">
        <v>96.76</v>
      </c>
      <c r="O145">
        <v>97.7</v>
      </c>
      <c r="P145">
        <v>98.51</v>
      </c>
      <c r="Q145">
        <v>98.89</v>
      </c>
      <c r="R145">
        <v>99.132425593444992</v>
      </c>
      <c r="S145">
        <v>97.895225566818851</v>
      </c>
      <c r="T145">
        <v>98.591323835441003</v>
      </c>
      <c r="U145">
        <v>98.128623117923979</v>
      </c>
      <c r="V145">
        <v>96.51</v>
      </c>
      <c r="W145">
        <v>95.42</v>
      </c>
      <c r="X145">
        <v>98.37</v>
      </c>
      <c r="Y145">
        <v>97.48</v>
      </c>
      <c r="Z145">
        <v>96.98</v>
      </c>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94.17</v>
      </c>
      <c r="D146">
        <v>94.14</v>
      </c>
      <c r="E146">
        <v>94.32</v>
      </c>
      <c r="F146">
        <v>94.50832582233997</v>
      </c>
      <c r="G146">
        <v>94.561297034853482</v>
      </c>
      <c r="H146">
        <v>93.816989715649697</v>
      </c>
      <c r="I146">
        <v>93.847662731274937</v>
      </c>
      <c r="J146">
        <v>93.71</v>
      </c>
      <c r="K146">
        <v>92.82</v>
      </c>
      <c r="L146">
        <v>92.4</v>
      </c>
      <c r="M146">
        <v>92.78</v>
      </c>
      <c r="N146">
        <v>92.18</v>
      </c>
      <c r="O146">
        <v>97.83</v>
      </c>
      <c r="P146">
        <v>99.05</v>
      </c>
      <c r="Q146">
        <v>99.61</v>
      </c>
      <c r="R146">
        <v>99.699045438599725</v>
      </c>
      <c r="S146">
        <v>99.435018083019955</v>
      </c>
      <c r="T146">
        <v>99.623527786412396</v>
      </c>
      <c r="U146">
        <v>99.653587050221887</v>
      </c>
      <c r="V146">
        <v>99.76</v>
      </c>
      <c r="W146">
        <v>91.61</v>
      </c>
      <c r="X146">
        <v>94</v>
      </c>
      <c r="Y146">
        <v>95.98</v>
      </c>
      <c r="Z146">
        <v>96.05</v>
      </c>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99.26</v>
      </c>
      <c r="D147">
        <v>98.87</v>
      </c>
      <c r="E147">
        <v>98.69</v>
      </c>
      <c r="F147">
        <v>98.81768522931408</v>
      </c>
      <c r="G147">
        <v>98.81349973633327</v>
      </c>
      <c r="H147">
        <v>98.857982435636202</v>
      </c>
      <c r="I147">
        <v>98.717131350199821</v>
      </c>
      <c r="J147">
        <v>98.52</v>
      </c>
      <c r="K147">
        <v>98.12</v>
      </c>
      <c r="L147">
        <v>98.25</v>
      </c>
      <c r="M147">
        <v>98.14</v>
      </c>
      <c r="N147">
        <v>98.41</v>
      </c>
      <c r="O147">
        <v>98.41</v>
      </c>
      <c r="P147">
        <v>99</v>
      </c>
      <c r="Q147">
        <v>98.4</v>
      </c>
      <c r="R147">
        <v>97.528900502740939</v>
      </c>
      <c r="S147">
        <v>97.506013769458349</v>
      </c>
      <c r="T147">
        <v>98.959078040550196</v>
      </c>
      <c r="U147">
        <v>98.808140320531876</v>
      </c>
      <c r="V147">
        <v>98.92</v>
      </c>
      <c r="W147">
        <v>98.04</v>
      </c>
      <c r="X147">
        <v>97.87</v>
      </c>
      <c r="Y147">
        <v>99.19</v>
      </c>
      <c r="Z147">
        <v>99.53</v>
      </c>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96.32</v>
      </c>
      <c r="D148">
        <v>96.6</v>
      </c>
      <c r="E148">
        <v>96.93</v>
      </c>
      <c r="F148">
        <v>97.102062699286094</v>
      </c>
      <c r="G148">
        <v>97.08972670840835</v>
      </c>
      <c r="H148">
        <v>97.171784147709801</v>
      </c>
      <c r="I148">
        <v>96.762994708741346</v>
      </c>
      <c r="J148">
        <v>96.77</v>
      </c>
      <c r="K148">
        <v>94.78</v>
      </c>
      <c r="L148">
        <v>94</v>
      </c>
      <c r="M148">
        <v>95.09</v>
      </c>
      <c r="N148">
        <v>94.04</v>
      </c>
      <c r="O148">
        <v>99.08</v>
      </c>
      <c r="P148">
        <v>99.3</v>
      </c>
      <c r="Q148">
        <v>99.46</v>
      </c>
      <c r="R148">
        <v>99.793549571041879</v>
      </c>
      <c r="S148">
        <v>99.42831215970962</v>
      </c>
      <c r="T148">
        <v>98.873044564950504</v>
      </c>
      <c r="U148">
        <v>99.811061877235204</v>
      </c>
      <c r="V148">
        <v>99.46</v>
      </c>
      <c r="W148">
        <v>98.96</v>
      </c>
      <c r="X148">
        <v>98.45</v>
      </c>
      <c r="Y148">
        <v>99.19</v>
      </c>
      <c r="Z148">
        <v>98.32</v>
      </c>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95.51</v>
      </c>
      <c r="D149">
        <v>94.6</v>
      </c>
      <c r="E149">
        <v>94.67</v>
      </c>
      <c r="F149">
        <v>94.494812540502451</v>
      </c>
      <c r="G149">
        <v>94.399287384478342</v>
      </c>
      <c r="H149">
        <v>94.710244074678897</v>
      </c>
      <c r="I149">
        <v>94.493555743459652</v>
      </c>
      <c r="J149">
        <v>92.6</v>
      </c>
      <c r="K149">
        <v>83.8</v>
      </c>
      <c r="L149">
        <v>83.91</v>
      </c>
      <c r="M149">
        <v>84.03</v>
      </c>
      <c r="N149">
        <v>85.55</v>
      </c>
      <c r="O149">
        <v>96.72</v>
      </c>
      <c r="P149">
        <v>97.32</v>
      </c>
      <c r="Q149">
        <v>97.47</v>
      </c>
      <c r="R149">
        <v>97.011464968152865</v>
      </c>
      <c r="S149">
        <v>97.176209826376052</v>
      </c>
      <c r="T149">
        <v>97.340402183084507</v>
      </c>
      <c r="U149">
        <v>97.399282235807206</v>
      </c>
      <c r="V149">
        <v>95.84</v>
      </c>
      <c r="W149">
        <v>86.45</v>
      </c>
      <c r="X149">
        <v>91.26</v>
      </c>
      <c r="Y149">
        <v>94.46</v>
      </c>
      <c r="Z149">
        <v>97.25</v>
      </c>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t="s">
        <v>879</v>
      </c>
      <c r="D150" t="s">
        <v>879</v>
      </c>
      <c r="E150" t="s">
        <v>879</v>
      </c>
      <c r="F150" t="s">
        <v>879</v>
      </c>
      <c r="G150" t="s">
        <v>879</v>
      </c>
      <c r="H150" t="s">
        <v>879</v>
      </c>
      <c r="I150" t="s">
        <v>879</v>
      </c>
      <c r="J150" t="s">
        <v>879</v>
      </c>
      <c r="K150" t="s">
        <v>879</v>
      </c>
      <c r="L150" t="s">
        <v>879</v>
      </c>
      <c r="M150" t="s">
        <v>879</v>
      </c>
      <c r="N150" t="e">
        <v>#N/A</v>
      </c>
      <c r="O150" t="s">
        <v>879</v>
      </c>
      <c r="P150" t="s">
        <v>879</v>
      </c>
      <c r="Q150">
        <v>0</v>
      </c>
      <c r="R150">
        <v>0</v>
      </c>
      <c r="S150" t="s">
        <v>879</v>
      </c>
      <c r="T150" t="s">
        <v>879</v>
      </c>
      <c r="U150" t="s">
        <v>879</v>
      </c>
      <c r="V150" t="s">
        <v>879</v>
      </c>
      <c r="W150" t="s">
        <v>879</v>
      </c>
      <c r="X150" t="s">
        <v>879</v>
      </c>
      <c r="Y150" t="s">
        <v>879</v>
      </c>
      <c r="Z150" t="e">
        <v>#N/A</v>
      </c>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96.18</v>
      </c>
      <c r="D151">
        <v>96.46</v>
      </c>
      <c r="E151">
        <v>96.78</v>
      </c>
      <c r="F151">
        <v>97.241313478426889</v>
      </c>
      <c r="G151">
        <v>96.877251071035914</v>
      </c>
      <c r="H151">
        <v>96.958622988286805</v>
      </c>
      <c r="I151">
        <v>97.21505123992803</v>
      </c>
      <c r="J151">
        <v>96.7</v>
      </c>
      <c r="K151">
        <v>90.94</v>
      </c>
      <c r="L151">
        <v>94.43</v>
      </c>
      <c r="M151">
        <v>94.88</v>
      </c>
      <c r="N151">
        <v>94.75</v>
      </c>
      <c r="O151">
        <v>96.09</v>
      </c>
      <c r="P151">
        <v>96.66</v>
      </c>
      <c r="Q151">
        <v>97.57</v>
      </c>
      <c r="R151">
        <v>98.090787336505855</v>
      </c>
      <c r="S151">
        <v>98.603136274936475</v>
      </c>
      <c r="T151">
        <v>98.426833316495106</v>
      </c>
      <c r="U151">
        <v>98.735559514914655</v>
      </c>
      <c r="V151">
        <v>98.54</v>
      </c>
      <c r="W151">
        <v>92.72</v>
      </c>
      <c r="X151">
        <v>99.02</v>
      </c>
      <c r="Y151">
        <v>96.04</v>
      </c>
      <c r="Z151">
        <v>94.88</v>
      </c>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98.3</v>
      </c>
      <c r="D152">
        <v>98.31</v>
      </c>
      <c r="E152">
        <v>98.37</v>
      </c>
      <c r="F152">
        <v>98.153944497101421</v>
      </c>
      <c r="G152">
        <v>98.111415029336229</v>
      </c>
      <c r="H152">
        <v>97.901310701944993</v>
      </c>
      <c r="I152">
        <v>97.775051274538527</v>
      </c>
      <c r="J152">
        <v>97.49</v>
      </c>
      <c r="K152">
        <v>96.77</v>
      </c>
      <c r="L152">
        <v>96.68</v>
      </c>
      <c r="M152">
        <v>96.76</v>
      </c>
      <c r="N152">
        <v>96.66</v>
      </c>
      <c r="O152">
        <v>97.6</v>
      </c>
      <c r="P152">
        <v>97.33</v>
      </c>
      <c r="Q152">
        <v>97.68</v>
      </c>
      <c r="R152">
        <v>97.93504376900718</v>
      </c>
      <c r="S152">
        <v>96.77962224691197</v>
      </c>
      <c r="T152">
        <v>98.598224752972698</v>
      </c>
      <c r="U152">
        <v>97.363462074163891</v>
      </c>
      <c r="V152">
        <v>97.52</v>
      </c>
      <c r="W152">
        <v>95.43</v>
      </c>
      <c r="X152">
        <v>97.04</v>
      </c>
      <c r="Y152">
        <v>97.65</v>
      </c>
      <c r="Z152">
        <v>98.39</v>
      </c>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98.41</v>
      </c>
      <c r="D153">
        <v>98.11</v>
      </c>
      <c r="E153">
        <v>98.32</v>
      </c>
      <c r="F153">
        <v>98.350994660100156</v>
      </c>
      <c r="G153">
        <v>98.404006851092547</v>
      </c>
      <c r="H153">
        <v>98.449535357550999</v>
      </c>
      <c r="I153">
        <v>98.550860353505797</v>
      </c>
      <c r="J153">
        <v>98.34</v>
      </c>
      <c r="K153">
        <v>96.56</v>
      </c>
      <c r="L153">
        <v>97.6</v>
      </c>
      <c r="M153">
        <v>98.04</v>
      </c>
      <c r="N153">
        <v>98.01</v>
      </c>
      <c r="O153">
        <v>96.86</v>
      </c>
      <c r="P153">
        <v>97.46</v>
      </c>
      <c r="Q153">
        <v>97.57</v>
      </c>
      <c r="R153">
        <v>97.865341545352749</v>
      </c>
      <c r="S153">
        <v>98.347052131432775</v>
      </c>
      <c r="T153">
        <v>98.511988716502103</v>
      </c>
      <c r="U153">
        <v>97.716305308230815</v>
      </c>
      <c r="V153">
        <v>98.35</v>
      </c>
      <c r="W153">
        <v>93.34</v>
      </c>
      <c r="X153">
        <v>97.6</v>
      </c>
      <c r="Y153">
        <v>98.5</v>
      </c>
      <c r="Z153">
        <v>99.03</v>
      </c>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98.66</v>
      </c>
      <c r="D154">
        <v>98.56</v>
      </c>
      <c r="E154">
        <v>98.76</v>
      </c>
      <c r="F154">
        <v>98.695496783416729</v>
      </c>
      <c r="G154">
        <v>98.914547195913599</v>
      </c>
      <c r="H154">
        <v>98.939255653584794</v>
      </c>
      <c r="I154">
        <v>98.982849932126257</v>
      </c>
      <c r="J154">
        <v>98.87</v>
      </c>
      <c r="K154">
        <v>98.68</v>
      </c>
      <c r="L154">
        <v>98.66</v>
      </c>
      <c r="M154">
        <v>96.7</v>
      </c>
      <c r="N154">
        <v>96.67</v>
      </c>
      <c r="O154">
        <v>97.93</v>
      </c>
      <c r="P154">
        <v>98.41</v>
      </c>
      <c r="Q154">
        <v>98.75</v>
      </c>
      <c r="R154">
        <v>98.181223421655218</v>
      </c>
      <c r="S154">
        <v>98.841840799068564</v>
      </c>
      <c r="T154">
        <v>98.657413412894002</v>
      </c>
      <c r="U154">
        <v>98.418000756334294</v>
      </c>
      <c r="V154">
        <v>98.54</v>
      </c>
      <c r="W154">
        <v>92.6</v>
      </c>
      <c r="X154">
        <v>96.87</v>
      </c>
      <c r="Y154">
        <v>96.41</v>
      </c>
      <c r="Z154">
        <v>97.16</v>
      </c>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92.94</v>
      </c>
      <c r="D155">
        <v>91.69</v>
      </c>
      <c r="E155">
        <v>91.78</v>
      </c>
      <c r="F155">
        <v>92.410850548437168</v>
      </c>
      <c r="G155">
        <v>92.680645555691413</v>
      </c>
      <c r="H155">
        <v>93.174767321613203</v>
      </c>
      <c r="I155">
        <v>92.973926535210069</v>
      </c>
      <c r="J155">
        <v>92.8</v>
      </c>
      <c r="K155">
        <v>90.15</v>
      </c>
      <c r="L155">
        <v>89.81</v>
      </c>
      <c r="M155">
        <v>88.25</v>
      </c>
      <c r="N155">
        <v>87.78</v>
      </c>
      <c r="O155">
        <v>95.24</v>
      </c>
      <c r="P155">
        <v>97.21</v>
      </c>
      <c r="Q155">
        <v>97.06</v>
      </c>
      <c r="R155">
        <v>97.590319298726357</v>
      </c>
      <c r="S155">
        <v>96.08646227359786</v>
      </c>
      <c r="T155">
        <v>96.582109254790495</v>
      </c>
      <c r="U155">
        <v>97.379283180200602</v>
      </c>
      <c r="V155">
        <v>97.77</v>
      </c>
      <c r="W155">
        <v>87.91</v>
      </c>
      <c r="X155">
        <v>94.79</v>
      </c>
      <c r="Y155">
        <v>97.47</v>
      </c>
      <c r="Z155">
        <v>98.05</v>
      </c>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97.31</v>
      </c>
      <c r="D156">
        <v>96.97</v>
      </c>
      <c r="E156">
        <v>96.98</v>
      </c>
      <c r="F156">
        <v>97.088715904585015</v>
      </c>
      <c r="G156">
        <v>97.306887272002399</v>
      </c>
      <c r="H156">
        <v>97.268955542021899</v>
      </c>
      <c r="I156">
        <v>97.383537716312816</v>
      </c>
      <c r="J156">
        <v>96.94</v>
      </c>
      <c r="K156">
        <v>95.91</v>
      </c>
      <c r="L156">
        <v>96.35</v>
      </c>
      <c r="M156">
        <v>96.37</v>
      </c>
      <c r="N156">
        <v>96.31</v>
      </c>
      <c r="O156">
        <v>98.22</v>
      </c>
      <c r="P156">
        <v>98.38</v>
      </c>
      <c r="Q156">
        <v>97.87</v>
      </c>
      <c r="R156">
        <v>97.927848359263535</v>
      </c>
      <c r="S156">
        <v>98.720176435206838</v>
      </c>
      <c r="T156">
        <v>98.675292667898901</v>
      </c>
      <c r="U156">
        <v>98.09945938685739</v>
      </c>
      <c r="V156">
        <v>98.28</v>
      </c>
      <c r="W156">
        <v>98.76</v>
      </c>
      <c r="X156">
        <v>99.39</v>
      </c>
      <c r="Y156">
        <v>96.87</v>
      </c>
      <c r="Z156">
        <v>99.05</v>
      </c>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96.41</v>
      </c>
      <c r="D157">
        <v>94.88</v>
      </c>
      <c r="E157">
        <v>95.61</v>
      </c>
      <c r="F157">
        <v>95.935823287575786</v>
      </c>
      <c r="G157">
        <v>95.481954819548193</v>
      </c>
      <c r="H157">
        <v>95.685067145244105</v>
      </c>
      <c r="I157">
        <v>95.534296028880874</v>
      </c>
      <c r="J157">
        <v>94.91</v>
      </c>
      <c r="K157">
        <v>94.04</v>
      </c>
      <c r="L157">
        <v>94.02</v>
      </c>
      <c r="M157">
        <v>94.77</v>
      </c>
      <c r="N157">
        <v>94.39</v>
      </c>
      <c r="O157">
        <v>98.65</v>
      </c>
      <c r="P157">
        <v>97</v>
      </c>
      <c r="Q157">
        <v>96.91</v>
      </c>
      <c r="R157">
        <v>97.755007805800474</v>
      </c>
      <c r="S157">
        <v>97.724794183684381</v>
      </c>
      <c r="T157">
        <v>97.962747380675196</v>
      </c>
      <c r="U157">
        <v>97.430177004188323</v>
      </c>
      <c r="V157">
        <v>96.78</v>
      </c>
      <c r="W157">
        <v>94.01</v>
      </c>
      <c r="X157">
        <v>97.37</v>
      </c>
      <c r="Y157">
        <v>97.27</v>
      </c>
      <c r="Z157">
        <v>96.36</v>
      </c>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98.02</v>
      </c>
      <c r="D158">
        <v>97.7</v>
      </c>
      <c r="E158">
        <v>97.8</v>
      </c>
      <c r="F158">
        <v>98.235081374321879</v>
      </c>
      <c r="G158">
        <v>98.168510874466691</v>
      </c>
      <c r="H158">
        <v>98.121770239830298</v>
      </c>
      <c r="I158">
        <v>98.009331259720071</v>
      </c>
      <c r="J158">
        <v>98.13</v>
      </c>
      <c r="K158">
        <v>98.35</v>
      </c>
      <c r="L158">
        <v>98.87</v>
      </c>
      <c r="M158">
        <v>98.39</v>
      </c>
      <c r="N158">
        <v>98.56</v>
      </c>
      <c r="O158">
        <v>97.95</v>
      </c>
      <c r="P158">
        <v>98.79</v>
      </c>
      <c r="Q158">
        <v>98.67</v>
      </c>
      <c r="R158">
        <v>98.887765419615775</v>
      </c>
      <c r="S158">
        <v>98.658843252305118</v>
      </c>
      <c r="T158">
        <v>97.995165647660997</v>
      </c>
      <c r="U158">
        <v>98.269074124355143</v>
      </c>
      <c r="V158">
        <v>98.78</v>
      </c>
      <c r="W158">
        <v>99.78</v>
      </c>
      <c r="X158">
        <v>98.82</v>
      </c>
      <c r="Y158">
        <v>98.28</v>
      </c>
      <c r="Z158">
        <v>98.43</v>
      </c>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96.9</v>
      </c>
      <c r="D159">
        <v>97.12</v>
      </c>
      <c r="E159">
        <v>97.3</v>
      </c>
      <c r="F159">
        <v>97.523633174154568</v>
      </c>
      <c r="G159">
        <v>97.680069199444077</v>
      </c>
      <c r="H159">
        <v>97.735419311477798</v>
      </c>
      <c r="I159">
        <v>98.021834217696835</v>
      </c>
      <c r="J159">
        <v>97.79</v>
      </c>
      <c r="K159">
        <v>96.81</v>
      </c>
      <c r="L159">
        <v>96.65</v>
      </c>
      <c r="M159">
        <v>97.3</v>
      </c>
      <c r="N159">
        <v>96.51</v>
      </c>
      <c r="O159">
        <v>95.63</v>
      </c>
      <c r="P159">
        <v>97.29</v>
      </c>
      <c r="Q159">
        <v>97.75</v>
      </c>
      <c r="R159">
        <v>97.700135218756444</v>
      </c>
      <c r="S159">
        <v>97.866369108000271</v>
      </c>
      <c r="T159">
        <v>98.683643832893395</v>
      </c>
      <c r="U159">
        <v>98.374497477856337</v>
      </c>
      <c r="V159">
        <v>97.9</v>
      </c>
      <c r="W159">
        <v>89.09</v>
      </c>
      <c r="X159">
        <v>98.69</v>
      </c>
      <c r="Y159">
        <v>97.81</v>
      </c>
      <c r="Z159">
        <v>98.8</v>
      </c>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98.11</v>
      </c>
      <c r="D160">
        <v>97.57</v>
      </c>
      <c r="E160">
        <v>97.75</v>
      </c>
      <c r="F160">
        <v>98.06629834254143</v>
      </c>
      <c r="G160">
        <v>98.102229932721201</v>
      </c>
      <c r="H160">
        <v>97.958695001496494</v>
      </c>
      <c r="I160">
        <v>97.787859472835663</v>
      </c>
      <c r="J160">
        <v>97.82</v>
      </c>
      <c r="K160">
        <v>96.96</v>
      </c>
      <c r="L160">
        <v>96.67</v>
      </c>
      <c r="M160">
        <v>97.05</v>
      </c>
      <c r="N160">
        <v>97.51</v>
      </c>
      <c r="O160">
        <v>97.57</v>
      </c>
      <c r="P160">
        <v>98.4</v>
      </c>
      <c r="Q160">
        <v>98.97</v>
      </c>
      <c r="R160">
        <v>99.082097695615886</v>
      </c>
      <c r="S160">
        <v>99.17734237628737</v>
      </c>
      <c r="T160">
        <v>99.218118091129597</v>
      </c>
      <c r="U160">
        <v>99.281656109188276</v>
      </c>
      <c r="V160">
        <v>98.82</v>
      </c>
      <c r="W160">
        <v>96.81</v>
      </c>
      <c r="X160">
        <v>98.58</v>
      </c>
      <c r="Y160">
        <v>96.87</v>
      </c>
      <c r="Z160">
        <v>99.39</v>
      </c>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97.81</v>
      </c>
      <c r="D161">
        <v>98.16</v>
      </c>
      <c r="E161">
        <v>98.43</v>
      </c>
      <c r="F161">
        <v>98.537251454331198</v>
      </c>
      <c r="G161">
        <v>98.5675430643699</v>
      </c>
      <c r="H161">
        <v>98.660255405146401</v>
      </c>
      <c r="I161">
        <v>98.573302722204005</v>
      </c>
      <c r="J161">
        <v>98.26</v>
      </c>
      <c r="K161">
        <v>97.83</v>
      </c>
      <c r="L161">
        <v>98.15</v>
      </c>
      <c r="M161">
        <v>98.2</v>
      </c>
      <c r="N161">
        <v>98.34</v>
      </c>
      <c r="O161">
        <v>96.96</v>
      </c>
      <c r="P161">
        <v>97.75</v>
      </c>
      <c r="Q161">
        <v>97.97</v>
      </c>
      <c r="R161">
        <v>98.460070272849521</v>
      </c>
      <c r="S161">
        <v>98.159482943115179</v>
      </c>
      <c r="T161">
        <v>98.967006545260205</v>
      </c>
      <c r="U161">
        <v>97.834517014509174</v>
      </c>
      <c r="V161">
        <v>98.01</v>
      </c>
      <c r="W161">
        <v>94.95</v>
      </c>
      <c r="X161">
        <v>97.47</v>
      </c>
      <c r="Y161">
        <v>98.33</v>
      </c>
      <c r="Z161">
        <v>96.85</v>
      </c>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98.52</v>
      </c>
      <c r="D162">
        <v>98.13</v>
      </c>
      <c r="E162">
        <v>98.53</v>
      </c>
      <c r="F162">
        <v>98.592749080005447</v>
      </c>
      <c r="G162">
        <v>98.574888326785427</v>
      </c>
      <c r="H162">
        <v>98.690116706112704</v>
      </c>
      <c r="I162">
        <v>98.304289544235928</v>
      </c>
      <c r="J162">
        <v>98.34</v>
      </c>
      <c r="K162">
        <v>98</v>
      </c>
      <c r="L162">
        <v>98.27</v>
      </c>
      <c r="M162">
        <v>97.92</v>
      </c>
      <c r="N162">
        <v>97.92</v>
      </c>
      <c r="O162">
        <v>97.05</v>
      </c>
      <c r="P162">
        <v>97.2</v>
      </c>
      <c r="Q162">
        <v>97.27</v>
      </c>
      <c r="R162">
        <v>95.786112610181689</v>
      </c>
      <c r="S162">
        <v>96.821931101407088</v>
      </c>
      <c r="T162">
        <v>96.634477272224999</v>
      </c>
      <c r="U162">
        <v>98.006658698992652</v>
      </c>
      <c r="V162">
        <v>96.62</v>
      </c>
      <c r="W162">
        <v>94.48</v>
      </c>
      <c r="X162">
        <v>96.92</v>
      </c>
      <c r="Y162">
        <v>97.53</v>
      </c>
      <c r="Z162">
        <v>97.56</v>
      </c>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95.95</v>
      </c>
      <c r="D163">
        <v>93.43</v>
      </c>
      <c r="E163">
        <v>93.55</v>
      </c>
      <c r="F163">
        <v>93.575622743353151</v>
      </c>
      <c r="G163">
        <v>92.543927715413929</v>
      </c>
      <c r="H163">
        <v>92.792423098388099</v>
      </c>
      <c r="I163">
        <v>92.579116863813709</v>
      </c>
      <c r="J163">
        <v>91.6</v>
      </c>
      <c r="K163">
        <v>92.04</v>
      </c>
      <c r="L163">
        <v>91.42</v>
      </c>
      <c r="M163">
        <v>92.81</v>
      </c>
      <c r="N163">
        <v>92.84</v>
      </c>
      <c r="O163">
        <v>98.83</v>
      </c>
      <c r="P163">
        <v>98.75</v>
      </c>
      <c r="Q163">
        <v>98.92</v>
      </c>
      <c r="R163">
        <v>99.015762071178955</v>
      </c>
      <c r="S163">
        <v>97.912540690659938</v>
      </c>
      <c r="T163">
        <v>98.887291072396806</v>
      </c>
      <c r="U163">
        <v>98.790484514894516</v>
      </c>
      <c r="V163">
        <v>98.61</v>
      </c>
      <c r="W163">
        <v>96.72</v>
      </c>
      <c r="X163">
        <v>98.37</v>
      </c>
      <c r="Y163">
        <v>96.99</v>
      </c>
      <c r="Z163">
        <v>95.75</v>
      </c>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98.09</v>
      </c>
      <c r="D164">
        <v>97.53</v>
      </c>
      <c r="E164">
        <v>97.82</v>
      </c>
      <c r="F164">
        <v>97.94972926565967</v>
      </c>
      <c r="G164">
        <v>98.221631848005472</v>
      </c>
      <c r="H164">
        <v>98.004284586762793</v>
      </c>
      <c r="I164">
        <v>98.06605156265266</v>
      </c>
      <c r="J164">
        <v>97.96</v>
      </c>
      <c r="K164">
        <v>97.66</v>
      </c>
      <c r="L164">
        <v>97.81</v>
      </c>
      <c r="M164">
        <v>97.24</v>
      </c>
      <c r="N164">
        <v>97.1</v>
      </c>
      <c r="O164">
        <v>97.17</v>
      </c>
      <c r="P164">
        <v>97.89</v>
      </c>
      <c r="Q164">
        <v>98.55</v>
      </c>
      <c r="R164">
        <v>98.295545610336461</v>
      </c>
      <c r="S164">
        <v>98.698525918218834</v>
      </c>
      <c r="T164">
        <v>98.435102615276307</v>
      </c>
      <c r="U164">
        <v>98.643976773067493</v>
      </c>
      <c r="V164">
        <v>98.63</v>
      </c>
      <c r="W164">
        <v>95.08</v>
      </c>
      <c r="X164">
        <v>98.46</v>
      </c>
      <c r="Y164">
        <v>98.15</v>
      </c>
      <c r="Z164">
        <v>98.5</v>
      </c>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98.99</v>
      </c>
      <c r="D165">
        <v>99.22</v>
      </c>
      <c r="E165">
        <v>99.3</v>
      </c>
      <c r="F165">
        <v>99.320920043811611</v>
      </c>
      <c r="G165">
        <v>99.162941405898408</v>
      </c>
      <c r="H165">
        <v>99.065980292897095</v>
      </c>
      <c r="I165">
        <v>99.127116942231737</v>
      </c>
      <c r="J165">
        <v>98.98</v>
      </c>
      <c r="K165">
        <v>98.49</v>
      </c>
      <c r="L165">
        <v>98.62</v>
      </c>
      <c r="M165">
        <v>98.56</v>
      </c>
      <c r="N165">
        <v>98.29</v>
      </c>
      <c r="O165">
        <v>98.81</v>
      </c>
      <c r="P165">
        <v>98.75</v>
      </c>
      <c r="Q165">
        <v>99.04</v>
      </c>
      <c r="R165">
        <v>97.591479924701517</v>
      </c>
      <c r="S165">
        <v>99.28624611671674</v>
      </c>
      <c r="T165">
        <v>99.551720813650803</v>
      </c>
      <c r="U165">
        <v>99.604836610586588</v>
      </c>
      <c r="V165">
        <v>97.91</v>
      </c>
      <c r="W165">
        <v>93.46</v>
      </c>
      <c r="X165">
        <v>95.92</v>
      </c>
      <c r="Y165">
        <v>95.22</v>
      </c>
      <c r="Z165">
        <v>95.54</v>
      </c>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99.38</v>
      </c>
      <c r="D166">
        <v>98.94</v>
      </c>
      <c r="E166">
        <v>98.96</v>
      </c>
      <c r="F166">
        <v>98.856052470082844</v>
      </c>
      <c r="G166">
        <v>98.989471748425359</v>
      </c>
      <c r="H166">
        <v>98.843885174990106</v>
      </c>
      <c r="I166">
        <v>98.774080560420316</v>
      </c>
      <c r="J166">
        <v>98.69</v>
      </c>
      <c r="K166">
        <v>98.31</v>
      </c>
      <c r="L166">
        <v>98.53</v>
      </c>
      <c r="M166">
        <v>98.6</v>
      </c>
      <c r="N166">
        <v>98.65</v>
      </c>
      <c r="O166">
        <v>98.4</v>
      </c>
      <c r="P166">
        <v>98.45</v>
      </c>
      <c r="Q166">
        <v>98.87</v>
      </c>
      <c r="R166">
        <v>99.286952589130934</v>
      </c>
      <c r="S166">
        <v>98.906762919061848</v>
      </c>
      <c r="T166">
        <v>99.124171360403395</v>
      </c>
      <c r="U166">
        <v>99.163719635920927</v>
      </c>
      <c r="V166">
        <v>98.97</v>
      </c>
      <c r="W166">
        <v>97.79</v>
      </c>
      <c r="X166">
        <v>98.45</v>
      </c>
      <c r="Y166">
        <v>98.82</v>
      </c>
      <c r="Z166">
        <v>98.96</v>
      </c>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97.9</v>
      </c>
      <c r="D167">
        <v>97.19</v>
      </c>
      <c r="E167">
        <v>96.96</v>
      </c>
      <c r="F167">
        <v>97.364549945030276</v>
      </c>
      <c r="G167">
        <v>97.746270861024968</v>
      </c>
      <c r="H167">
        <v>97.576394729464496</v>
      </c>
      <c r="I167">
        <v>97.475141998437692</v>
      </c>
      <c r="J167">
        <v>97.4</v>
      </c>
      <c r="K167">
        <v>97.29</v>
      </c>
      <c r="L167">
        <v>97.36</v>
      </c>
      <c r="M167">
        <v>97.11</v>
      </c>
      <c r="N167">
        <v>97.21</v>
      </c>
      <c r="O167">
        <v>98.19</v>
      </c>
      <c r="P167">
        <v>97.82</v>
      </c>
      <c r="Q167">
        <v>98.69</v>
      </c>
      <c r="R167">
        <v>98.458417849898581</v>
      </c>
      <c r="S167">
        <v>98.556973382514201</v>
      </c>
      <c r="T167">
        <v>98.60107421875</v>
      </c>
      <c r="U167">
        <v>98.870835768556404</v>
      </c>
      <c r="V167">
        <v>98.49</v>
      </c>
      <c r="W167">
        <v>96.96</v>
      </c>
      <c r="X167">
        <v>97.96</v>
      </c>
      <c r="Y167">
        <v>97.22</v>
      </c>
      <c r="Z167">
        <v>97.8</v>
      </c>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97.07</v>
      </c>
      <c r="D168">
        <v>96.91</v>
      </c>
      <c r="E168">
        <v>96.86</v>
      </c>
      <c r="F168">
        <v>97.056559076103056</v>
      </c>
      <c r="G168">
        <v>96.900742491965573</v>
      </c>
      <c r="H168">
        <v>96.884740612111997</v>
      </c>
      <c r="I168">
        <v>97.136764404346934</v>
      </c>
      <c r="J168">
        <v>97.02</v>
      </c>
      <c r="K168">
        <v>95.55</v>
      </c>
      <c r="L168">
        <v>96.76</v>
      </c>
      <c r="M168">
        <v>97.08</v>
      </c>
      <c r="N168">
        <v>97.09</v>
      </c>
      <c r="O168">
        <v>99.48</v>
      </c>
      <c r="P168">
        <v>99.27</v>
      </c>
      <c r="Q168">
        <v>99.1</v>
      </c>
      <c r="R168">
        <v>99.197565384765454</v>
      </c>
      <c r="S168">
        <v>99.140039700326568</v>
      </c>
      <c r="T168">
        <v>99.084991005215599</v>
      </c>
      <c r="U168">
        <v>99.119123746420641</v>
      </c>
      <c r="V168">
        <v>99.06</v>
      </c>
      <c r="W168">
        <v>94.24</v>
      </c>
      <c r="X168">
        <v>93.47</v>
      </c>
      <c r="Y168">
        <v>99.02</v>
      </c>
      <c r="Z168">
        <v>98.52</v>
      </c>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97.29</v>
      </c>
      <c r="D169">
        <v>96.64</v>
      </c>
      <c r="E169">
        <v>97.09</v>
      </c>
      <c r="F169">
        <v>97.302483280239954</v>
      </c>
      <c r="G169">
        <v>97.421830177854275</v>
      </c>
      <c r="H169">
        <v>97.744515070740206</v>
      </c>
      <c r="I169">
        <v>97.696928701422109</v>
      </c>
      <c r="J169">
        <v>97.29</v>
      </c>
      <c r="K169">
        <v>97.13</v>
      </c>
      <c r="L169">
        <v>96.8</v>
      </c>
      <c r="M169">
        <v>97.31</v>
      </c>
      <c r="N169">
        <v>97.83</v>
      </c>
      <c r="O169">
        <v>97.47</v>
      </c>
      <c r="P169">
        <v>96.91</v>
      </c>
      <c r="Q169">
        <v>96.56</v>
      </c>
      <c r="R169">
        <v>97.745270250813491</v>
      </c>
      <c r="S169">
        <v>97.936699279526778</v>
      </c>
      <c r="T169">
        <v>97.561045594100506</v>
      </c>
      <c r="U169">
        <v>98.874026413816466</v>
      </c>
      <c r="V169">
        <v>99.47</v>
      </c>
      <c r="W169">
        <v>89.2</v>
      </c>
      <c r="X169">
        <v>97.19</v>
      </c>
      <c r="Y169">
        <v>97.64</v>
      </c>
      <c r="Z169">
        <v>97.56</v>
      </c>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93.15</v>
      </c>
      <c r="D170">
        <v>92.51</v>
      </c>
      <c r="E170">
        <v>93.95</v>
      </c>
      <c r="F170">
        <v>95.618987039834622</v>
      </c>
      <c r="G170">
        <v>96.306310283179201</v>
      </c>
      <c r="H170">
        <v>96.125602748216707</v>
      </c>
      <c r="I170">
        <v>96.201474054844397</v>
      </c>
      <c r="J170">
        <v>95.9</v>
      </c>
      <c r="K170">
        <v>89.48</v>
      </c>
      <c r="L170">
        <v>89.41</v>
      </c>
      <c r="M170">
        <v>90.27</v>
      </c>
      <c r="N170">
        <v>89.4</v>
      </c>
      <c r="O170">
        <v>99.74</v>
      </c>
      <c r="P170">
        <v>99.78</v>
      </c>
      <c r="Q170">
        <v>99.79</v>
      </c>
      <c r="R170">
        <v>99.710354270581774</v>
      </c>
      <c r="S170">
        <v>99.742850347820919</v>
      </c>
      <c r="T170">
        <v>99.184391601142906</v>
      </c>
      <c r="U170">
        <v>99.508743088689528</v>
      </c>
      <c r="V170">
        <v>99.18</v>
      </c>
      <c r="W170">
        <v>95.27</v>
      </c>
      <c r="X170">
        <v>96.35</v>
      </c>
      <c r="Y170">
        <v>98.4</v>
      </c>
      <c r="Z170">
        <v>99.03</v>
      </c>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97.66</v>
      </c>
      <c r="D171">
        <v>96.81</v>
      </c>
      <c r="E171">
        <v>97.05</v>
      </c>
      <c r="F171">
        <v>97.107982655536659</v>
      </c>
      <c r="G171">
        <v>97.207200667803875</v>
      </c>
      <c r="H171">
        <v>97.034165997916901</v>
      </c>
      <c r="I171">
        <v>97.066128282779729</v>
      </c>
      <c r="J171">
        <v>96.81</v>
      </c>
      <c r="K171">
        <v>96</v>
      </c>
      <c r="L171">
        <v>96.89</v>
      </c>
      <c r="M171">
        <v>97.24</v>
      </c>
      <c r="N171">
        <v>96.98</v>
      </c>
      <c r="O171">
        <v>98.01</v>
      </c>
      <c r="P171">
        <v>97.4</v>
      </c>
      <c r="Q171">
        <v>97.93</v>
      </c>
      <c r="R171">
        <v>97.747145980082578</v>
      </c>
      <c r="S171">
        <v>96.111507333560724</v>
      </c>
      <c r="T171">
        <v>97.958102126067701</v>
      </c>
      <c r="U171">
        <v>97.039191671769757</v>
      </c>
      <c r="V171">
        <v>97.07</v>
      </c>
      <c r="W171">
        <v>95.23</v>
      </c>
      <c r="X171">
        <v>97.46</v>
      </c>
      <c r="Y171">
        <v>97.05</v>
      </c>
      <c r="Z171">
        <v>97.47</v>
      </c>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97.35</v>
      </c>
      <c r="D172">
        <v>97.19</v>
      </c>
      <c r="E172">
        <v>97.15</v>
      </c>
      <c r="F172">
        <v>97.157051607016115</v>
      </c>
      <c r="G172">
        <v>97.252438291354011</v>
      </c>
      <c r="H172">
        <v>97.250348351137902</v>
      </c>
      <c r="I172">
        <v>97.104297923869368</v>
      </c>
      <c r="J172">
        <v>96.9</v>
      </c>
      <c r="K172">
        <v>95.79</v>
      </c>
      <c r="L172">
        <v>95.87</v>
      </c>
      <c r="M172">
        <v>96.31</v>
      </c>
      <c r="N172">
        <v>96.64</v>
      </c>
      <c r="O172">
        <v>97.08</v>
      </c>
      <c r="P172">
        <v>97.36</v>
      </c>
      <c r="Q172">
        <v>97.57</v>
      </c>
      <c r="R172">
        <v>97.906141578915324</v>
      </c>
      <c r="S172">
        <v>97.738201246660722</v>
      </c>
      <c r="T172">
        <v>97.598200170254103</v>
      </c>
      <c r="U172">
        <v>98.177769965430358</v>
      </c>
      <c r="V172">
        <v>97.61</v>
      </c>
      <c r="W172">
        <v>87.77</v>
      </c>
      <c r="X172">
        <v>97.33</v>
      </c>
      <c r="Y172">
        <v>96.67</v>
      </c>
      <c r="Z172">
        <v>96.56</v>
      </c>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97.21</v>
      </c>
      <c r="D173">
        <v>96.46</v>
      </c>
      <c r="E173">
        <v>96.27</v>
      </c>
      <c r="F173">
        <v>95.953229053740131</v>
      </c>
      <c r="G173">
        <v>95.193975485661426</v>
      </c>
      <c r="H173">
        <v>94.315723167091093</v>
      </c>
      <c r="I173">
        <v>93.502583402436684</v>
      </c>
      <c r="J173">
        <v>93.25</v>
      </c>
      <c r="K173">
        <v>92.47</v>
      </c>
      <c r="L173">
        <v>93.06</v>
      </c>
      <c r="M173">
        <v>93.2</v>
      </c>
      <c r="N173">
        <v>92.88</v>
      </c>
      <c r="O173">
        <v>97.24</v>
      </c>
      <c r="P173">
        <v>96.39</v>
      </c>
      <c r="Q173">
        <v>97.87</v>
      </c>
      <c r="R173">
        <v>98.406112287529339</v>
      </c>
      <c r="S173">
        <v>99.988542129158859</v>
      </c>
      <c r="T173">
        <v>96.744358120606705</v>
      </c>
      <c r="U173">
        <v>97.188345853228313</v>
      </c>
      <c r="V173">
        <v>97.95</v>
      </c>
      <c r="W173">
        <v>96.68</v>
      </c>
      <c r="X173">
        <v>97.62</v>
      </c>
      <c r="Y173">
        <v>95.18</v>
      </c>
      <c r="Z173">
        <v>96.67</v>
      </c>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98.18</v>
      </c>
      <c r="D174">
        <v>97.81</v>
      </c>
      <c r="E174">
        <v>97.83</v>
      </c>
      <c r="F174">
        <v>98.133641186333534</v>
      </c>
      <c r="G174">
        <v>98.401658705579763</v>
      </c>
      <c r="H174">
        <v>99.247850115238705</v>
      </c>
      <c r="I174">
        <v>98.382250174703003</v>
      </c>
      <c r="J174">
        <v>98.13</v>
      </c>
      <c r="K174">
        <v>97.37</v>
      </c>
      <c r="L174">
        <v>98.4</v>
      </c>
      <c r="M174">
        <v>97.56</v>
      </c>
      <c r="N174">
        <v>97.9</v>
      </c>
      <c r="O174">
        <v>97.06</v>
      </c>
      <c r="P174">
        <v>97.39</v>
      </c>
      <c r="Q174">
        <v>96.94</v>
      </c>
      <c r="R174">
        <v>97.988855116514699</v>
      </c>
      <c r="S174">
        <v>98.547305686615346</v>
      </c>
      <c r="T174">
        <v>99.390038155059997</v>
      </c>
      <c r="U174">
        <v>98.312765630600637</v>
      </c>
      <c r="V174">
        <v>97.98</v>
      </c>
      <c r="W174">
        <v>94.77</v>
      </c>
      <c r="X174">
        <v>96.98</v>
      </c>
      <c r="Y174">
        <v>97.71</v>
      </c>
      <c r="Z174">
        <v>97.51</v>
      </c>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99.13</v>
      </c>
      <c r="D175">
        <v>99.16</v>
      </c>
      <c r="E175">
        <v>99.25</v>
      </c>
      <c r="F175">
        <v>99.145249560054921</v>
      </c>
      <c r="G175">
        <v>99.143453274277974</v>
      </c>
      <c r="H175">
        <v>99.198149307729693</v>
      </c>
      <c r="I175">
        <v>99.075661816340869</v>
      </c>
      <c r="J175">
        <v>98.89</v>
      </c>
      <c r="K175">
        <v>98.07</v>
      </c>
      <c r="L175">
        <v>98.38</v>
      </c>
      <c r="M175">
        <v>98.85</v>
      </c>
      <c r="N175">
        <v>98.48</v>
      </c>
      <c r="O175">
        <v>99.93</v>
      </c>
      <c r="P175">
        <v>99.53</v>
      </c>
      <c r="Q175">
        <v>99.78</v>
      </c>
      <c r="R175">
        <v>99.461641991924637</v>
      </c>
      <c r="S175">
        <v>99.091776378553703</v>
      </c>
      <c r="T175">
        <v>99.888551554513597</v>
      </c>
      <c r="U175">
        <v>99.420913916626446</v>
      </c>
      <c r="V175">
        <v>99.43</v>
      </c>
      <c r="W175">
        <v>97.21</v>
      </c>
      <c r="X175">
        <v>99.74</v>
      </c>
      <c r="Y175">
        <v>99.33</v>
      </c>
      <c r="Z175">
        <v>99.03</v>
      </c>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98.05</v>
      </c>
      <c r="D176">
        <v>97.58</v>
      </c>
      <c r="E176">
        <v>97.39</v>
      </c>
      <c r="F176">
        <v>97.159355882917737</v>
      </c>
      <c r="G176">
        <v>96.851941652140866</v>
      </c>
      <c r="H176">
        <v>96.208014653102595</v>
      </c>
      <c r="I176">
        <v>95.426664365038263</v>
      </c>
      <c r="J176">
        <v>95.25</v>
      </c>
      <c r="K176">
        <v>94.62</v>
      </c>
      <c r="L176">
        <v>94.55</v>
      </c>
      <c r="M176">
        <v>94.33</v>
      </c>
      <c r="N176">
        <v>94.31</v>
      </c>
      <c r="O176">
        <v>99.11</v>
      </c>
      <c r="P176">
        <v>99.4</v>
      </c>
      <c r="Q176">
        <v>97.86</v>
      </c>
      <c r="R176">
        <v>98.460546812053494</v>
      </c>
      <c r="S176">
        <v>98.89071309757837</v>
      </c>
      <c r="T176">
        <v>97.512729238949206</v>
      </c>
      <c r="U176">
        <v>97.808751591503054</v>
      </c>
      <c r="V176">
        <v>95.67</v>
      </c>
      <c r="W176">
        <v>96.47</v>
      </c>
      <c r="X176">
        <v>97.08</v>
      </c>
      <c r="Y176">
        <v>95.43</v>
      </c>
      <c r="Z176">
        <v>97.77</v>
      </c>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97.9</v>
      </c>
      <c r="D177">
        <v>98.08</v>
      </c>
      <c r="E177">
        <v>98.45</v>
      </c>
      <c r="F177">
        <v>98.564317881691665</v>
      </c>
      <c r="G177">
        <v>98.696326451487835</v>
      </c>
      <c r="H177">
        <v>98.738270930126603</v>
      </c>
      <c r="I177">
        <v>98.724737012120613</v>
      </c>
      <c r="J177">
        <v>98.51</v>
      </c>
      <c r="K177">
        <v>98.01</v>
      </c>
      <c r="L177">
        <v>98.1</v>
      </c>
      <c r="M177">
        <v>98.27</v>
      </c>
      <c r="N177">
        <v>98.37</v>
      </c>
      <c r="O177">
        <v>98.43</v>
      </c>
      <c r="P177">
        <v>99.12</v>
      </c>
      <c r="Q177">
        <v>99.33</v>
      </c>
      <c r="R177">
        <v>99.316032991349829</v>
      </c>
      <c r="S177">
        <v>99.364349990426959</v>
      </c>
      <c r="T177">
        <v>99.404971618711997</v>
      </c>
      <c r="U177">
        <v>99.154722528482182</v>
      </c>
      <c r="V177">
        <v>97.32</v>
      </c>
      <c r="W177">
        <v>98.41</v>
      </c>
      <c r="X177">
        <v>99.24</v>
      </c>
      <c r="Y177">
        <v>99.25</v>
      </c>
      <c r="Z177">
        <v>99.29</v>
      </c>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t="s">
        <v>879</v>
      </c>
      <c r="D178" t="s">
        <v>879</v>
      </c>
      <c r="E178" t="s">
        <v>879</v>
      </c>
      <c r="F178" t="s">
        <v>879</v>
      </c>
      <c r="G178" t="s">
        <v>879</v>
      </c>
      <c r="H178" t="s">
        <v>879</v>
      </c>
      <c r="I178" t="s">
        <v>879</v>
      </c>
      <c r="J178" t="s">
        <v>879</v>
      </c>
      <c r="K178" t="s">
        <v>879</v>
      </c>
      <c r="L178">
        <v>96.33</v>
      </c>
      <c r="M178">
        <v>96.8</v>
      </c>
      <c r="N178">
        <v>96.04</v>
      </c>
      <c r="O178" t="s">
        <v>879</v>
      </c>
      <c r="P178" t="s">
        <v>879</v>
      </c>
      <c r="Q178" t="s">
        <v>879</v>
      </c>
      <c r="R178" t="s">
        <v>879</v>
      </c>
      <c r="S178" t="s">
        <v>879</v>
      </c>
      <c r="T178" t="s">
        <v>879</v>
      </c>
      <c r="U178" t="s">
        <v>879</v>
      </c>
      <c r="V178" t="s">
        <v>879</v>
      </c>
      <c r="W178" t="s">
        <v>879</v>
      </c>
      <c r="X178">
        <v>95.77</v>
      </c>
      <c r="Y178">
        <v>97.05</v>
      </c>
      <c r="Z178">
        <v>94.88</v>
      </c>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97.87</v>
      </c>
      <c r="D179">
        <v>97.47</v>
      </c>
      <c r="E179">
        <v>97.58</v>
      </c>
      <c r="F179">
        <v>97.702688035888713</v>
      </c>
      <c r="G179">
        <v>98.304471127737898</v>
      </c>
      <c r="H179">
        <v>98.357249210530597</v>
      </c>
      <c r="I179">
        <v>98.091256551292716</v>
      </c>
      <c r="J179">
        <v>98</v>
      </c>
      <c r="K179">
        <v>97.61</v>
      </c>
      <c r="L179">
        <v>98.01</v>
      </c>
      <c r="M179">
        <v>98.18</v>
      </c>
      <c r="N179">
        <v>97.98</v>
      </c>
      <c r="O179">
        <v>97.33</v>
      </c>
      <c r="P179">
        <v>97.64</v>
      </c>
      <c r="Q179">
        <v>97.91</v>
      </c>
      <c r="R179">
        <v>98.57821457821457</v>
      </c>
      <c r="S179">
        <v>98.659207400925126</v>
      </c>
      <c r="T179">
        <v>98.952316140978297</v>
      </c>
      <c r="U179">
        <v>98.283202006285123</v>
      </c>
      <c r="V179">
        <v>98.41</v>
      </c>
      <c r="W179">
        <v>89.81</v>
      </c>
      <c r="X179">
        <v>95.34</v>
      </c>
      <c r="Y179">
        <v>98.2</v>
      </c>
      <c r="Z179">
        <v>98.47</v>
      </c>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96.85</v>
      </c>
      <c r="D180">
        <v>96.49</v>
      </c>
      <c r="E180">
        <v>96.37</v>
      </c>
      <c r="F180">
        <v>96.607829718951322</v>
      </c>
      <c r="G180">
        <v>96.509826215875776</v>
      </c>
      <c r="H180">
        <v>96.1738103378609</v>
      </c>
      <c r="I180">
        <v>95.441515967679877</v>
      </c>
      <c r="J180">
        <v>94.96</v>
      </c>
      <c r="K180">
        <v>94.84</v>
      </c>
      <c r="L180">
        <v>94.79</v>
      </c>
      <c r="M180">
        <v>94.65</v>
      </c>
      <c r="N180">
        <v>94.84</v>
      </c>
      <c r="O180">
        <v>98.07</v>
      </c>
      <c r="P180">
        <v>97.94</v>
      </c>
      <c r="Q180">
        <v>97.99</v>
      </c>
      <c r="R180">
        <v>98.496440247606088</v>
      </c>
      <c r="S180">
        <v>97.75649839056662</v>
      </c>
      <c r="T180">
        <v>98.919222633527198</v>
      </c>
      <c r="U180">
        <v>99.758839769816717</v>
      </c>
      <c r="V180">
        <v>97.57</v>
      </c>
      <c r="W180">
        <v>92.2</v>
      </c>
      <c r="X180">
        <v>95.95</v>
      </c>
      <c r="Y180">
        <v>97.01</v>
      </c>
      <c r="Z180">
        <v>97.29</v>
      </c>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98.16</v>
      </c>
      <c r="D181">
        <v>97.96</v>
      </c>
      <c r="E181">
        <v>98.24</v>
      </c>
      <c r="F181">
        <v>98.395947657239347</v>
      </c>
      <c r="G181">
        <v>98.593048682241914</v>
      </c>
      <c r="H181">
        <v>98.621315941550407</v>
      </c>
      <c r="I181">
        <v>98.02287923109067</v>
      </c>
      <c r="J181">
        <v>97.09</v>
      </c>
      <c r="K181">
        <v>95.48</v>
      </c>
      <c r="L181">
        <v>95.2</v>
      </c>
      <c r="M181">
        <v>95.18</v>
      </c>
      <c r="N181">
        <v>96.26</v>
      </c>
      <c r="O181">
        <v>98.85</v>
      </c>
      <c r="P181">
        <v>98.94</v>
      </c>
      <c r="Q181">
        <v>99.27</v>
      </c>
      <c r="R181">
        <v>99.636634467816194</v>
      </c>
      <c r="S181">
        <v>99.572225529756793</v>
      </c>
      <c r="T181">
        <v>99.905052423183307</v>
      </c>
      <c r="U181">
        <v>99.130069020897466</v>
      </c>
      <c r="V181">
        <v>99.36</v>
      </c>
      <c r="W181">
        <v>93.7</v>
      </c>
      <c r="X181">
        <v>97.55</v>
      </c>
      <c r="Y181">
        <v>96.88</v>
      </c>
      <c r="Z181">
        <v>98.99</v>
      </c>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97.76</v>
      </c>
      <c r="D182">
        <v>97.42</v>
      </c>
      <c r="E182">
        <v>97.78</v>
      </c>
      <c r="F182">
        <v>97.433541462192238</v>
      </c>
      <c r="G182">
        <v>97.734251968503941</v>
      </c>
      <c r="H182">
        <v>97.780456146857006</v>
      </c>
      <c r="I182">
        <v>97.842935528120705</v>
      </c>
      <c r="J182">
        <v>97.63</v>
      </c>
      <c r="K182">
        <v>96.65</v>
      </c>
      <c r="L182">
        <v>96.89</v>
      </c>
      <c r="M182">
        <v>97.15</v>
      </c>
      <c r="N182">
        <v>97.17</v>
      </c>
      <c r="O182">
        <v>99.22</v>
      </c>
      <c r="P182">
        <v>97.73</v>
      </c>
      <c r="Q182">
        <v>99.08</v>
      </c>
      <c r="R182">
        <v>99.100298632377843</v>
      </c>
      <c r="S182">
        <v>99.288812114084095</v>
      </c>
      <c r="T182">
        <v>99.418624770737395</v>
      </c>
      <c r="U182">
        <v>99.123949716667752</v>
      </c>
      <c r="V182">
        <v>99.16</v>
      </c>
      <c r="W182">
        <v>96.85</v>
      </c>
      <c r="X182">
        <v>98.48</v>
      </c>
      <c r="Y182">
        <v>99.1</v>
      </c>
      <c r="Z182">
        <v>97.2</v>
      </c>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t="s">
        <v>879</v>
      </c>
      <c r="D183" t="s">
        <v>879</v>
      </c>
      <c r="E183" t="s">
        <v>879</v>
      </c>
      <c r="F183" t="s">
        <v>879</v>
      </c>
      <c r="G183" t="s">
        <v>879</v>
      </c>
      <c r="H183" t="s">
        <v>879</v>
      </c>
      <c r="I183" t="s">
        <v>879</v>
      </c>
      <c r="J183" t="s">
        <v>879</v>
      </c>
      <c r="K183" t="s">
        <v>879</v>
      </c>
      <c r="L183" t="s">
        <v>879</v>
      </c>
      <c r="M183" t="s">
        <v>879</v>
      </c>
      <c r="N183">
        <v>97.87</v>
      </c>
      <c r="O183" t="s">
        <v>879</v>
      </c>
      <c r="P183" t="s">
        <v>879</v>
      </c>
      <c r="Q183" t="s">
        <v>879</v>
      </c>
      <c r="R183" t="s">
        <v>879</v>
      </c>
      <c r="S183" t="s">
        <v>879</v>
      </c>
      <c r="T183" t="s">
        <v>879</v>
      </c>
      <c r="U183" t="s">
        <v>879</v>
      </c>
      <c r="V183" t="s">
        <v>879</v>
      </c>
      <c r="W183" t="s">
        <v>879</v>
      </c>
      <c r="X183" t="s">
        <v>879</v>
      </c>
      <c r="Y183" t="s">
        <v>879</v>
      </c>
      <c r="Z183">
        <v>97.85</v>
      </c>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97.74</v>
      </c>
      <c r="D184">
        <v>97.46</v>
      </c>
      <c r="E184">
        <v>97.69</v>
      </c>
      <c r="F184">
        <v>97.83267637960283</v>
      </c>
      <c r="G184">
        <v>97.887012120603842</v>
      </c>
      <c r="H184">
        <v>98.038388525627497</v>
      </c>
      <c r="I184">
        <v>98.067211530929313</v>
      </c>
      <c r="J184">
        <v>97.64</v>
      </c>
      <c r="K184">
        <v>97.02</v>
      </c>
      <c r="L184">
        <v>97.41</v>
      </c>
      <c r="M184">
        <v>97.26</v>
      </c>
      <c r="N184">
        <v>96.69</v>
      </c>
      <c r="O184">
        <v>97.59</v>
      </c>
      <c r="P184">
        <v>97.28</v>
      </c>
      <c r="Q184">
        <v>97.92</v>
      </c>
      <c r="R184">
        <v>98.135904268691235</v>
      </c>
      <c r="S184">
        <v>98.053596270714863</v>
      </c>
      <c r="T184">
        <v>98.071949500520901</v>
      </c>
      <c r="U184">
        <v>98.302567112687029</v>
      </c>
      <c r="V184">
        <v>97.66</v>
      </c>
      <c r="W184">
        <v>93.35</v>
      </c>
      <c r="X184">
        <v>95.66</v>
      </c>
      <c r="Y184">
        <v>95.12</v>
      </c>
      <c r="Z184">
        <v>96.39</v>
      </c>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95.15</v>
      </c>
      <c r="D185">
        <v>94.98</v>
      </c>
      <c r="E185">
        <v>95.18</v>
      </c>
      <c r="F185">
        <v>94.922089177381991</v>
      </c>
      <c r="G185">
        <v>95.310555873154655</v>
      </c>
      <c r="H185">
        <v>95.613584566494296</v>
      </c>
      <c r="I185">
        <v>95.741807706157715</v>
      </c>
      <c r="J185">
        <v>95.32</v>
      </c>
      <c r="K185">
        <v>93.61</v>
      </c>
      <c r="L185">
        <v>93.96</v>
      </c>
      <c r="M185">
        <v>93.85</v>
      </c>
      <c r="N185">
        <v>93.44</v>
      </c>
      <c r="O185">
        <v>98.49</v>
      </c>
      <c r="P185">
        <v>97.21</v>
      </c>
      <c r="Q185">
        <v>98.56</v>
      </c>
      <c r="R185">
        <v>98.488317117475802</v>
      </c>
      <c r="S185">
        <v>97.240457087284213</v>
      </c>
      <c r="T185">
        <v>97.881598962619293</v>
      </c>
      <c r="U185">
        <v>97.651771956856706</v>
      </c>
      <c r="V185">
        <v>97.18</v>
      </c>
      <c r="W185">
        <v>92.69</v>
      </c>
      <c r="X185">
        <v>95.86</v>
      </c>
      <c r="Y185">
        <v>95.78</v>
      </c>
      <c r="Z185">
        <v>96.59</v>
      </c>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93.49</v>
      </c>
      <c r="D186">
        <v>93.17</v>
      </c>
      <c r="E186">
        <v>92.5</v>
      </c>
      <c r="F186">
        <v>92.458772895247805</v>
      </c>
      <c r="G186">
        <v>93.085305317557456</v>
      </c>
      <c r="H186">
        <v>93.089037092783997</v>
      </c>
      <c r="I186">
        <v>93.228644531892925</v>
      </c>
      <c r="J186">
        <v>92.99</v>
      </c>
      <c r="K186">
        <v>93.73</v>
      </c>
      <c r="L186">
        <v>93.08</v>
      </c>
      <c r="M186">
        <v>93.01</v>
      </c>
      <c r="N186">
        <v>92.08</v>
      </c>
      <c r="O186">
        <v>97.46</v>
      </c>
      <c r="P186">
        <v>97.36</v>
      </c>
      <c r="Q186">
        <v>96.27</v>
      </c>
      <c r="R186">
        <v>97.648510080567448</v>
      </c>
      <c r="S186">
        <v>97.360574844586239</v>
      </c>
      <c r="T186">
        <v>98.009480737261597</v>
      </c>
      <c r="U186">
        <v>97.326916427326424</v>
      </c>
      <c r="V186">
        <v>97.35</v>
      </c>
      <c r="W186">
        <v>84.84</v>
      </c>
      <c r="X186">
        <v>89.78</v>
      </c>
      <c r="Y186">
        <v>89.32</v>
      </c>
      <c r="Z186">
        <v>90.5</v>
      </c>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97.5</v>
      </c>
      <c r="D187">
        <v>97.05</v>
      </c>
      <c r="E187">
        <v>97.24</v>
      </c>
      <c r="F187">
        <v>97.457820137708708</v>
      </c>
      <c r="G187">
        <v>97.471578141385223</v>
      </c>
      <c r="H187">
        <v>97.354128730900101</v>
      </c>
      <c r="I187">
        <v>97.03699340245052</v>
      </c>
      <c r="J187">
        <v>96.84</v>
      </c>
      <c r="K187">
        <v>97.23</v>
      </c>
      <c r="L187">
        <v>97.17</v>
      </c>
      <c r="M187">
        <v>96.66</v>
      </c>
      <c r="N187">
        <v>96.61</v>
      </c>
      <c r="O187">
        <v>97.6</v>
      </c>
      <c r="P187">
        <v>98.11</v>
      </c>
      <c r="Q187">
        <v>98.41</v>
      </c>
      <c r="R187">
        <v>98.155589039566934</v>
      </c>
      <c r="S187">
        <v>97.703543339453574</v>
      </c>
      <c r="T187">
        <v>98.104144887407102</v>
      </c>
      <c r="U187">
        <v>97.954464113647006</v>
      </c>
      <c r="V187">
        <v>97.4</v>
      </c>
      <c r="W187">
        <v>96.78</v>
      </c>
      <c r="X187">
        <v>97.26</v>
      </c>
      <c r="Y187">
        <v>96.99</v>
      </c>
      <c r="Z187">
        <v>97.53</v>
      </c>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98.84</v>
      </c>
      <c r="D188">
        <v>98.53</v>
      </c>
      <c r="E188">
        <v>98.36</v>
      </c>
      <c r="F188">
        <v>98.335457459545054</v>
      </c>
      <c r="G188">
        <v>98.284892298613158</v>
      </c>
      <c r="H188">
        <v>98.241206030150707</v>
      </c>
      <c r="I188">
        <v>97.887112386928806</v>
      </c>
      <c r="J188">
        <v>97.53</v>
      </c>
      <c r="K188">
        <v>96.42</v>
      </c>
      <c r="L188">
        <v>96.81</v>
      </c>
      <c r="M188">
        <v>96.92</v>
      </c>
      <c r="N188">
        <v>96.39</v>
      </c>
      <c r="O188">
        <v>98.17</v>
      </c>
      <c r="P188">
        <v>98.3</v>
      </c>
      <c r="Q188">
        <v>98.58</v>
      </c>
      <c r="R188">
        <v>98.290738762429115</v>
      </c>
      <c r="S188">
        <v>98.374760994263866</v>
      </c>
      <c r="T188">
        <v>99.226225143522697</v>
      </c>
      <c r="U188">
        <v>98.659517426273453</v>
      </c>
      <c r="V188">
        <v>97.88</v>
      </c>
      <c r="W188">
        <v>87.06</v>
      </c>
      <c r="X188">
        <v>94.39</v>
      </c>
      <c r="Y188">
        <v>96.24</v>
      </c>
      <c r="Z188">
        <v>95.78</v>
      </c>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95.73</v>
      </c>
      <c r="D189">
        <v>93.77</v>
      </c>
      <c r="E189">
        <v>93.13</v>
      </c>
      <c r="F189">
        <v>94.481498503514217</v>
      </c>
      <c r="G189">
        <v>94.612963456921847</v>
      </c>
      <c r="H189">
        <v>94.532366806914297</v>
      </c>
      <c r="I189">
        <v>94.458686460943937</v>
      </c>
      <c r="J189">
        <v>94.05</v>
      </c>
      <c r="K189">
        <v>93.29</v>
      </c>
      <c r="L189">
        <v>94.16</v>
      </c>
      <c r="M189">
        <v>94.18</v>
      </c>
      <c r="N189">
        <v>94.11</v>
      </c>
      <c r="O189">
        <v>95.46</v>
      </c>
      <c r="P189">
        <v>95.78</v>
      </c>
      <c r="Q189">
        <v>95.98</v>
      </c>
      <c r="R189">
        <v>96.484298170851631</v>
      </c>
      <c r="S189">
        <v>97.124075595727206</v>
      </c>
      <c r="T189">
        <v>97.193587254836302</v>
      </c>
      <c r="U189">
        <v>97.219385619820869</v>
      </c>
      <c r="V189">
        <v>96.19</v>
      </c>
      <c r="W189">
        <v>90.49</v>
      </c>
      <c r="X189">
        <v>95.56</v>
      </c>
      <c r="Y189">
        <v>97.13</v>
      </c>
      <c r="Z189">
        <v>96.22</v>
      </c>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97.01</v>
      </c>
      <c r="D190">
        <v>96.84</v>
      </c>
      <c r="E190">
        <v>97.67</v>
      </c>
      <c r="F190">
        <v>97.605008567997515</v>
      </c>
      <c r="G190">
        <v>97.86988987097692</v>
      </c>
      <c r="H190">
        <v>97.786700496360396</v>
      </c>
      <c r="I190">
        <v>97.719174844043678</v>
      </c>
      <c r="J190">
        <v>98.01</v>
      </c>
      <c r="K190">
        <v>97.54</v>
      </c>
      <c r="L190">
        <v>97.77</v>
      </c>
      <c r="M190">
        <v>95.39</v>
      </c>
      <c r="N190">
        <v>96.33</v>
      </c>
      <c r="O190">
        <v>97.38</v>
      </c>
      <c r="P190">
        <v>97.91</v>
      </c>
      <c r="Q190">
        <v>98.8</v>
      </c>
      <c r="R190">
        <v>98.324066540095828</v>
      </c>
      <c r="S190">
        <v>97.865171054988352</v>
      </c>
      <c r="T190">
        <v>96.186640656954907</v>
      </c>
      <c r="U190">
        <v>98.15906641046071</v>
      </c>
      <c r="V190">
        <v>97.42</v>
      </c>
      <c r="W190">
        <v>95.76</v>
      </c>
      <c r="X190">
        <v>89.8</v>
      </c>
      <c r="Y190">
        <v>97.41</v>
      </c>
      <c r="Z190">
        <v>98.61</v>
      </c>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96.76</v>
      </c>
      <c r="D191">
        <v>95.9</v>
      </c>
      <c r="E191">
        <v>95.98</v>
      </c>
      <c r="F191">
        <v>96.339918946301921</v>
      </c>
      <c r="G191">
        <v>96.442602529704871</v>
      </c>
      <c r="H191">
        <v>96.515567765567695</v>
      </c>
      <c r="I191">
        <v>96.340890653686856</v>
      </c>
      <c r="J191">
        <v>96.33</v>
      </c>
      <c r="K191">
        <v>94.22</v>
      </c>
      <c r="L191">
        <v>95.36</v>
      </c>
      <c r="M191">
        <v>95.75</v>
      </c>
      <c r="N191">
        <v>95.64</v>
      </c>
      <c r="O191">
        <v>96.65</v>
      </c>
      <c r="P191">
        <v>97.96</v>
      </c>
      <c r="Q191">
        <v>98.58</v>
      </c>
      <c r="R191">
        <v>99.135631729724395</v>
      </c>
      <c r="S191">
        <v>98.868723824194873</v>
      </c>
      <c r="T191">
        <v>98.088032309186602</v>
      </c>
      <c r="U191">
        <v>98.170949777755069</v>
      </c>
      <c r="V191">
        <v>98.49</v>
      </c>
      <c r="W191">
        <v>96.44</v>
      </c>
      <c r="X191">
        <v>95.96</v>
      </c>
      <c r="Y191">
        <v>94.44</v>
      </c>
      <c r="Z191">
        <v>95.89</v>
      </c>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96.15</v>
      </c>
      <c r="D192">
        <v>95.26</v>
      </c>
      <c r="E192">
        <v>94.78</v>
      </c>
      <c r="F192">
        <v>94.944092033114728</v>
      </c>
      <c r="G192">
        <v>95.461559867439092</v>
      </c>
      <c r="H192">
        <v>95.891157752521295</v>
      </c>
      <c r="I192">
        <v>95.828486138852924</v>
      </c>
      <c r="J192">
        <v>95.74</v>
      </c>
      <c r="K192">
        <v>95.16</v>
      </c>
      <c r="L192">
        <v>95.86</v>
      </c>
      <c r="M192">
        <v>95.91</v>
      </c>
      <c r="N192">
        <v>95.7</v>
      </c>
      <c r="O192">
        <v>97.22</v>
      </c>
      <c r="P192">
        <v>96.92</v>
      </c>
      <c r="Q192">
        <v>97.78</v>
      </c>
      <c r="R192">
        <v>96.514146070094569</v>
      </c>
      <c r="S192">
        <v>97.37641128437933</v>
      </c>
      <c r="T192">
        <v>97.8080610000099</v>
      </c>
      <c r="U192">
        <v>97.899205398933276</v>
      </c>
      <c r="V192">
        <v>97.4</v>
      </c>
      <c r="W192">
        <v>84.53</v>
      </c>
      <c r="X192">
        <v>97.97</v>
      </c>
      <c r="Y192">
        <v>98.36</v>
      </c>
      <c r="Z192">
        <v>98.39</v>
      </c>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96.45</v>
      </c>
      <c r="D193">
        <v>95.83</v>
      </c>
      <c r="E193">
        <v>96.13</v>
      </c>
      <c r="F193">
        <v>96.744336270936188</v>
      </c>
      <c r="G193">
        <v>96.920243105918374</v>
      </c>
      <c r="H193">
        <v>96.987007734694899</v>
      </c>
      <c r="I193">
        <v>96.772948230085007</v>
      </c>
      <c r="J193">
        <v>96.44</v>
      </c>
      <c r="K193">
        <v>98.24</v>
      </c>
      <c r="L193">
        <v>96.75</v>
      </c>
      <c r="M193">
        <v>96.66</v>
      </c>
      <c r="N193">
        <v>96.5</v>
      </c>
      <c r="O193">
        <v>96.73</v>
      </c>
      <c r="P193">
        <v>97.63</v>
      </c>
      <c r="Q193">
        <v>97.9</v>
      </c>
      <c r="R193">
        <v>99.46799213458597</v>
      </c>
      <c r="S193">
        <v>98.938056834015967</v>
      </c>
      <c r="T193">
        <v>98.606723458027403</v>
      </c>
      <c r="U193">
        <v>99.016296361283523</v>
      </c>
      <c r="V193">
        <v>98.97</v>
      </c>
      <c r="W193">
        <v>98.53</v>
      </c>
      <c r="X193">
        <v>98.4</v>
      </c>
      <c r="Y193">
        <v>99.09</v>
      </c>
      <c r="Z193">
        <v>98.8</v>
      </c>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95.05</v>
      </c>
      <c r="D194">
        <v>93.95</v>
      </c>
      <c r="E194">
        <v>94.54</v>
      </c>
      <c r="F194">
        <v>95.383377521005627</v>
      </c>
      <c r="G194">
        <v>95.333872674092973</v>
      </c>
      <c r="H194">
        <v>94.595663042846297</v>
      </c>
      <c r="I194">
        <v>93.804296879257905</v>
      </c>
      <c r="J194">
        <v>93.29</v>
      </c>
      <c r="K194">
        <v>90.98</v>
      </c>
      <c r="L194">
        <v>89.4</v>
      </c>
      <c r="M194">
        <v>90.91</v>
      </c>
      <c r="N194">
        <v>91.77</v>
      </c>
      <c r="O194">
        <v>98.01</v>
      </c>
      <c r="P194">
        <v>97.83</v>
      </c>
      <c r="Q194">
        <v>98.26</v>
      </c>
      <c r="R194">
        <v>99.617297220680129</v>
      </c>
      <c r="S194">
        <v>99.799416484318016</v>
      </c>
      <c r="T194">
        <v>97.515069643890897</v>
      </c>
      <c r="U194">
        <v>97.166456856379341</v>
      </c>
      <c r="V194">
        <v>96.86</v>
      </c>
      <c r="W194">
        <v>93.53</v>
      </c>
      <c r="X194">
        <v>95.28</v>
      </c>
      <c r="Y194">
        <v>96.61</v>
      </c>
      <c r="Z194">
        <v>96.03</v>
      </c>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96.29</v>
      </c>
      <c r="D195">
        <v>94.55</v>
      </c>
      <c r="E195">
        <v>94.59</v>
      </c>
      <c r="F195">
        <v>94.131451464203693</v>
      </c>
      <c r="G195">
        <v>94.218987443013674</v>
      </c>
      <c r="H195">
        <v>93.891567361047905</v>
      </c>
      <c r="I195">
        <v>93.594405204719905</v>
      </c>
      <c r="J195">
        <v>92.85</v>
      </c>
      <c r="K195">
        <v>90.17</v>
      </c>
      <c r="L195">
        <v>90.25</v>
      </c>
      <c r="M195">
        <v>90.8</v>
      </c>
      <c r="N195">
        <v>90.17</v>
      </c>
      <c r="O195">
        <v>96.47</v>
      </c>
      <c r="P195">
        <v>96.83</v>
      </c>
      <c r="Q195">
        <v>96.72</v>
      </c>
      <c r="R195">
        <v>96.592699859448871</v>
      </c>
      <c r="S195">
        <v>96.07435150506312</v>
      </c>
      <c r="T195">
        <v>95.478382646524196</v>
      </c>
      <c r="U195">
        <v>95.633915889581928</v>
      </c>
      <c r="V195">
        <v>95.17</v>
      </c>
      <c r="W195">
        <v>90.45</v>
      </c>
      <c r="X195">
        <v>94.27</v>
      </c>
      <c r="Y195">
        <v>94.83</v>
      </c>
      <c r="Z195">
        <v>95.69</v>
      </c>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97.54</v>
      </c>
      <c r="D196">
        <v>96.93</v>
      </c>
      <c r="E196">
        <v>96.5</v>
      </c>
      <c r="F196">
        <v>96.841690182499292</v>
      </c>
      <c r="G196">
        <v>96.677321474069444</v>
      </c>
      <c r="H196">
        <v>96.5958224880073</v>
      </c>
      <c r="I196">
        <v>96.43617495321179</v>
      </c>
      <c r="J196">
        <v>96.17</v>
      </c>
      <c r="K196">
        <v>95.43</v>
      </c>
      <c r="L196">
        <v>95.53</v>
      </c>
      <c r="M196">
        <v>96.07</v>
      </c>
      <c r="N196">
        <v>95.67</v>
      </c>
      <c r="O196">
        <v>98.17</v>
      </c>
      <c r="P196">
        <v>97.28</v>
      </c>
      <c r="Q196">
        <v>96.95</v>
      </c>
      <c r="R196">
        <v>97.903793648512718</v>
      </c>
      <c r="S196">
        <v>97.45060437510304</v>
      </c>
      <c r="T196">
        <v>96.281693183747095</v>
      </c>
      <c r="U196">
        <v>97.893867138239429</v>
      </c>
      <c r="V196">
        <v>97.71</v>
      </c>
      <c r="W196">
        <v>94.23</v>
      </c>
      <c r="X196">
        <v>95.6</v>
      </c>
      <c r="Y196">
        <v>96.61</v>
      </c>
      <c r="Z196">
        <v>96.93</v>
      </c>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96.28</v>
      </c>
      <c r="D197">
        <v>96.61</v>
      </c>
      <c r="E197">
        <v>96.98</v>
      </c>
      <c r="F197">
        <v>97.199739510652151</v>
      </c>
      <c r="G197">
        <v>97.24811362627608</v>
      </c>
      <c r="H197">
        <v>97.213281510946402</v>
      </c>
      <c r="I197">
        <v>97.255194990037012</v>
      </c>
      <c r="J197">
        <v>97.13</v>
      </c>
      <c r="K197">
        <v>96.36</v>
      </c>
      <c r="L197">
        <v>96.6</v>
      </c>
      <c r="M197">
        <v>96.94</v>
      </c>
      <c r="N197">
        <v>96.77</v>
      </c>
      <c r="O197">
        <v>96.86</v>
      </c>
      <c r="P197">
        <v>97.1</v>
      </c>
      <c r="Q197">
        <v>97.66</v>
      </c>
      <c r="R197">
        <v>97.365353660567266</v>
      </c>
      <c r="S197">
        <v>98.780942903346187</v>
      </c>
      <c r="T197">
        <v>98.027959871065804</v>
      </c>
      <c r="U197">
        <v>97.434374836264553</v>
      </c>
      <c r="V197">
        <v>96.26</v>
      </c>
      <c r="W197">
        <v>85.48</v>
      </c>
      <c r="X197">
        <v>93.82</v>
      </c>
      <c r="Y197">
        <v>94.84</v>
      </c>
      <c r="Z197">
        <v>93.79</v>
      </c>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96.81</v>
      </c>
      <c r="D198">
        <v>95.36</v>
      </c>
      <c r="E198">
        <v>95.45</v>
      </c>
      <c r="F198">
        <v>95.904179184296211</v>
      </c>
      <c r="G198">
        <v>94.063710257627022</v>
      </c>
      <c r="H198">
        <v>94.539159398693897</v>
      </c>
      <c r="I198">
        <v>94.616399361244191</v>
      </c>
      <c r="J198">
        <v>93.75</v>
      </c>
      <c r="K198">
        <v>92.81</v>
      </c>
      <c r="L198">
        <v>92.99</v>
      </c>
      <c r="M198">
        <v>92.86</v>
      </c>
      <c r="N198">
        <v>92.73</v>
      </c>
      <c r="O198">
        <v>81.75</v>
      </c>
      <c r="P198">
        <v>98.83</v>
      </c>
      <c r="Q198">
        <v>99.04</v>
      </c>
      <c r="R198">
        <v>77.074628031397665</v>
      </c>
      <c r="S198">
        <v>98.994286917831658</v>
      </c>
      <c r="T198">
        <v>99.207021325737102</v>
      </c>
      <c r="U198">
        <v>99.035854943481155</v>
      </c>
      <c r="V198">
        <v>97.29</v>
      </c>
      <c r="W198">
        <v>95.11</v>
      </c>
      <c r="X198">
        <v>97.78</v>
      </c>
      <c r="Y198">
        <v>98.43</v>
      </c>
      <c r="Z198">
        <v>98.59</v>
      </c>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97.35</v>
      </c>
      <c r="D199">
        <v>97.19</v>
      </c>
      <c r="E199">
        <v>96.37</v>
      </c>
      <c r="F199">
        <v>96.177072542133061</v>
      </c>
      <c r="G199">
        <v>96.037954512530789</v>
      </c>
      <c r="H199">
        <v>96.318889356331496</v>
      </c>
      <c r="I199">
        <v>96.539868647242912</v>
      </c>
      <c r="J199">
        <v>96.37</v>
      </c>
      <c r="K199">
        <v>95.89</v>
      </c>
      <c r="L199">
        <v>95.81</v>
      </c>
      <c r="M199">
        <v>95.66</v>
      </c>
      <c r="N199">
        <v>96.05</v>
      </c>
      <c r="O199">
        <v>97.85</v>
      </c>
      <c r="P199">
        <v>98.28</v>
      </c>
      <c r="Q199">
        <v>95.65</v>
      </c>
      <c r="R199">
        <v>96.559730970428106</v>
      </c>
      <c r="S199">
        <v>96.014675776991993</v>
      </c>
      <c r="T199">
        <v>95.102018429135498</v>
      </c>
      <c r="U199">
        <v>98.252552451475367</v>
      </c>
      <c r="V199">
        <v>98.09</v>
      </c>
      <c r="W199">
        <v>96</v>
      </c>
      <c r="X199">
        <v>95.63</v>
      </c>
      <c r="Y199">
        <v>94.86</v>
      </c>
      <c r="Z199">
        <v>96.16</v>
      </c>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98.53</v>
      </c>
      <c r="D200">
        <v>98.36</v>
      </c>
      <c r="E200">
        <v>98.62</v>
      </c>
      <c r="F200">
        <v>98.793469810831823</v>
      </c>
      <c r="G200">
        <v>99.015362714277245</v>
      </c>
      <c r="H200">
        <v>98.901849910125804</v>
      </c>
      <c r="I200">
        <v>99.095842458464162</v>
      </c>
      <c r="J200">
        <v>98.65</v>
      </c>
      <c r="K200">
        <v>98.06</v>
      </c>
      <c r="L200">
        <v>98.89</v>
      </c>
      <c r="M200">
        <v>98.6</v>
      </c>
      <c r="N200">
        <v>98.57</v>
      </c>
      <c r="O200">
        <v>99.37</v>
      </c>
      <c r="P200">
        <v>99.34</v>
      </c>
      <c r="Q200">
        <v>99.35</v>
      </c>
      <c r="R200">
        <v>99.838510307428535</v>
      </c>
      <c r="S200">
        <v>99.802472033169053</v>
      </c>
      <c r="T200">
        <v>99.986980861866897</v>
      </c>
      <c r="U200">
        <v>99.987118619115961</v>
      </c>
      <c r="V200">
        <v>99.94</v>
      </c>
      <c r="W200">
        <v>99.8</v>
      </c>
      <c r="X200">
        <v>98.72</v>
      </c>
      <c r="Y200">
        <v>99.95</v>
      </c>
      <c r="Z200">
        <v>99.99</v>
      </c>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99.01</v>
      </c>
      <c r="D201">
        <v>98.99</v>
      </c>
      <c r="E201">
        <v>98.83</v>
      </c>
      <c r="F201">
        <v>98.753884771694956</v>
      </c>
      <c r="G201">
        <v>98.788961683541785</v>
      </c>
      <c r="H201">
        <v>98.751141429875901</v>
      </c>
      <c r="I201">
        <v>98.847522172671248</v>
      </c>
      <c r="J201">
        <v>98.84</v>
      </c>
      <c r="K201">
        <v>97.59</v>
      </c>
      <c r="L201">
        <v>98.95</v>
      </c>
      <c r="M201">
        <v>99.14</v>
      </c>
      <c r="N201">
        <v>99.12</v>
      </c>
      <c r="O201">
        <v>98.07</v>
      </c>
      <c r="P201">
        <v>97.78</v>
      </c>
      <c r="Q201">
        <v>98.23</v>
      </c>
      <c r="R201">
        <v>98.382293217815075</v>
      </c>
      <c r="S201">
        <v>98.523748395378689</v>
      </c>
      <c r="T201">
        <v>98.320722155847605</v>
      </c>
      <c r="U201">
        <v>98.503644967387132</v>
      </c>
      <c r="V201">
        <v>97.99</v>
      </c>
      <c r="W201">
        <v>95.89</v>
      </c>
      <c r="X201">
        <v>99.05</v>
      </c>
      <c r="Y201">
        <v>98.51</v>
      </c>
      <c r="Z201">
        <v>98.69</v>
      </c>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98.61</v>
      </c>
      <c r="D202">
        <v>98.75</v>
      </c>
      <c r="E202">
        <v>98.79</v>
      </c>
      <c r="F202">
        <v>98.823758351531922</v>
      </c>
      <c r="G202">
        <v>98.562669328390129</v>
      </c>
      <c r="H202">
        <v>98.466557021285297</v>
      </c>
      <c r="I202">
        <v>98.498384833752084</v>
      </c>
      <c r="J202">
        <v>98.6</v>
      </c>
      <c r="K202">
        <v>97.73</v>
      </c>
      <c r="L202">
        <v>98.07</v>
      </c>
      <c r="M202">
        <v>98.43</v>
      </c>
      <c r="N202">
        <v>98.49</v>
      </c>
      <c r="O202">
        <v>97.79</v>
      </c>
      <c r="P202">
        <v>97.23</v>
      </c>
      <c r="Q202">
        <v>96.86</v>
      </c>
      <c r="R202">
        <v>98.404850968525892</v>
      </c>
      <c r="S202">
        <v>98.135090765215125</v>
      </c>
      <c r="T202">
        <v>98.349411452340902</v>
      </c>
      <c r="U202">
        <v>98.41915910433336</v>
      </c>
      <c r="V202">
        <v>97.37</v>
      </c>
      <c r="W202">
        <v>85.37</v>
      </c>
      <c r="X202">
        <v>93.78</v>
      </c>
      <c r="Y202">
        <v>97.98</v>
      </c>
      <c r="Z202">
        <v>99.3</v>
      </c>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95.17</v>
      </c>
      <c r="D203">
        <v>92.99</v>
      </c>
      <c r="E203">
        <v>93.46</v>
      </c>
      <c r="F203">
        <v>94.242765967656794</v>
      </c>
      <c r="G203">
        <v>94.534366807249512</v>
      </c>
      <c r="H203">
        <v>94.820747273650795</v>
      </c>
      <c r="I203">
        <v>94.705965793953155</v>
      </c>
      <c r="J203">
        <v>94.59</v>
      </c>
      <c r="K203">
        <v>94.76</v>
      </c>
      <c r="L203">
        <v>93.48</v>
      </c>
      <c r="M203">
        <v>93.98</v>
      </c>
      <c r="N203">
        <v>93.43</v>
      </c>
      <c r="O203">
        <v>96.55</v>
      </c>
      <c r="P203">
        <v>97.3</v>
      </c>
      <c r="Q203">
        <v>98.12</v>
      </c>
      <c r="R203">
        <v>98.532071692303091</v>
      </c>
      <c r="S203">
        <v>98.305359963391055</v>
      </c>
      <c r="T203">
        <v>98.6700861526175</v>
      </c>
      <c r="U203">
        <v>98.72819223748391</v>
      </c>
      <c r="V203">
        <v>98.39</v>
      </c>
      <c r="W203">
        <v>95.61</v>
      </c>
      <c r="X203">
        <v>95.71</v>
      </c>
      <c r="Y203">
        <v>97.37</v>
      </c>
      <c r="Z203">
        <v>96.84</v>
      </c>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98.52</v>
      </c>
      <c r="D204">
        <v>98.31</v>
      </c>
      <c r="E204">
        <v>98.44</v>
      </c>
      <c r="F204">
        <v>98.666045566189553</v>
      </c>
      <c r="G204">
        <v>98.780413809841633</v>
      </c>
      <c r="H204">
        <v>98.6637620835197</v>
      </c>
      <c r="I204">
        <v>98.560966678872205</v>
      </c>
      <c r="J204">
        <v>98.67</v>
      </c>
      <c r="K204">
        <v>98.32</v>
      </c>
      <c r="L204">
        <v>98.62</v>
      </c>
      <c r="M204">
        <v>98.63</v>
      </c>
      <c r="N204">
        <v>98.67</v>
      </c>
      <c r="O204">
        <v>96.92</v>
      </c>
      <c r="P204">
        <v>97.76</v>
      </c>
      <c r="Q204">
        <v>98.24</v>
      </c>
      <c r="R204">
        <v>99.124945309081809</v>
      </c>
      <c r="S204">
        <v>98.921081343193123</v>
      </c>
      <c r="T204">
        <v>99.234128742325396</v>
      </c>
      <c r="U204">
        <v>99.689157067105498</v>
      </c>
      <c r="V204">
        <v>99.5</v>
      </c>
      <c r="W204">
        <v>97.41</v>
      </c>
      <c r="X204">
        <v>99</v>
      </c>
      <c r="Y204">
        <v>98.34</v>
      </c>
      <c r="Z204">
        <v>99.04</v>
      </c>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97.45</v>
      </c>
      <c r="D205">
        <v>97.07</v>
      </c>
      <c r="E205">
        <v>96.9</v>
      </c>
      <c r="F205">
        <v>96.75815930974116</v>
      </c>
      <c r="G205">
        <v>96.224051539012166</v>
      </c>
      <c r="H205">
        <v>96.402529338042598</v>
      </c>
      <c r="I205">
        <v>96.671583746815074</v>
      </c>
      <c r="J205">
        <v>96.32</v>
      </c>
      <c r="K205">
        <v>95.73</v>
      </c>
      <c r="L205">
        <v>95.56</v>
      </c>
      <c r="M205">
        <v>95.98</v>
      </c>
      <c r="N205">
        <v>95.75</v>
      </c>
      <c r="O205">
        <v>96.68</v>
      </c>
      <c r="P205">
        <v>97.2</v>
      </c>
      <c r="Q205">
        <v>97.56</v>
      </c>
      <c r="R205">
        <v>97.361061312298318</v>
      </c>
      <c r="S205">
        <v>97.186735525958142</v>
      </c>
      <c r="T205">
        <v>98.3847837572646</v>
      </c>
      <c r="U205">
        <v>98.472765573277158</v>
      </c>
      <c r="V205">
        <v>97.78</v>
      </c>
      <c r="W205">
        <v>94.26</v>
      </c>
      <c r="X205">
        <v>98.16</v>
      </c>
      <c r="Y205">
        <v>99</v>
      </c>
      <c r="Z205">
        <v>98.54</v>
      </c>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98.52</v>
      </c>
      <c r="D206">
        <v>98.54</v>
      </c>
      <c r="E206">
        <v>98.49</v>
      </c>
      <c r="F206">
        <v>98.525004994339753</v>
      </c>
      <c r="G206">
        <v>98.508930801898572</v>
      </c>
      <c r="H206">
        <v>98.452939267911304</v>
      </c>
      <c r="I206">
        <v>98.444908284146365</v>
      </c>
      <c r="J206">
        <v>98.24</v>
      </c>
      <c r="K206">
        <v>96.75</v>
      </c>
      <c r="L206">
        <v>98.01</v>
      </c>
      <c r="M206">
        <v>97.66</v>
      </c>
      <c r="N206">
        <v>97.55</v>
      </c>
      <c r="O206">
        <v>97.86</v>
      </c>
      <c r="P206">
        <v>98.29</v>
      </c>
      <c r="Q206">
        <v>98.6</v>
      </c>
      <c r="R206">
        <v>98.251727943311835</v>
      </c>
      <c r="S206">
        <v>98.180718918324729</v>
      </c>
      <c r="T206">
        <v>98.796616904126594</v>
      </c>
      <c r="U206">
        <v>98.237481808871891</v>
      </c>
      <c r="V206">
        <v>98.61</v>
      </c>
      <c r="W206">
        <v>93.43</v>
      </c>
      <c r="X206">
        <v>97</v>
      </c>
      <c r="Y206">
        <v>96.17</v>
      </c>
      <c r="Z206">
        <v>96.7</v>
      </c>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97.5</v>
      </c>
      <c r="D207">
        <v>97.09</v>
      </c>
      <c r="E207">
        <v>97.19</v>
      </c>
      <c r="F207">
        <v>97.303500264080284</v>
      </c>
      <c r="G207">
        <v>97.258375675895991</v>
      </c>
      <c r="H207">
        <v>97.011506043664795</v>
      </c>
      <c r="I207">
        <v>96.775191830062766</v>
      </c>
      <c r="J207">
        <v>96.41</v>
      </c>
      <c r="K207">
        <v>96.55</v>
      </c>
      <c r="L207">
        <v>97.42</v>
      </c>
      <c r="M207">
        <v>97.01</v>
      </c>
      <c r="N207">
        <v>96.92</v>
      </c>
      <c r="O207">
        <v>98.09</v>
      </c>
      <c r="P207">
        <v>98.2</v>
      </c>
      <c r="Q207">
        <v>98.28</v>
      </c>
      <c r="R207">
        <v>98.11462566402119</v>
      </c>
      <c r="S207">
        <v>98.303674950849413</v>
      </c>
      <c r="T207">
        <v>98.528958718422601</v>
      </c>
      <c r="U207">
        <v>98.466557073872394</v>
      </c>
      <c r="V207">
        <v>97.89</v>
      </c>
      <c r="W207">
        <v>96.95</v>
      </c>
      <c r="X207">
        <v>97.35</v>
      </c>
      <c r="Y207">
        <v>97.07</v>
      </c>
      <c r="Z207">
        <v>96.94</v>
      </c>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98</v>
      </c>
      <c r="D208">
        <v>97.57</v>
      </c>
      <c r="E208">
        <v>97.84</v>
      </c>
      <c r="F208">
        <v>98.037679469426436</v>
      </c>
      <c r="G208">
        <v>97.709699689333789</v>
      </c>
      <c r="H208">
        <v>98.4968588626122</v>
      </c>
      <c r="I208">
        <v>98.055117866963272</v>
      </c>
      <c r="J208">
        <v>96.7</v>
      </c>
      <c r="K208">
        <v>95.66</v>
      </c>
      <c r="L208">
        <v>95.55</v>
      </c>
      <c r="M208">
        <v>94.83</v>
      </c>
      <c r="N208">
        <v>95.57</v>
      </c>
      <c r="O208">
        <v>99.13</v>
      </c>
      <c r="P208">
        <v>99.22</v>
      </c>
      <c r="Q208">
        <v>98.56</v>
      </c>
      <c r="R208">
        <v>97.668570454351723</v>
      </c>
      <c r="S208">
        <v>99.327236836804573</v>
      </c>
      <c r="T208">
        <v>98.494521200571697</v>
      </c>
      <c r="U208">
        <v>98.948000655224504</v>
      </c>
      <c r="V208">
        <v>98.91</v>
      </c>
      <c r="W208">
        <v>99.34</v>
      </c>
      <c r="X208">
        <v>97.76</v>
      </c>
      <c r="Y208">
        <v>96.75</v>
      </c>
      <c r="Z208">
        <v>98.1</v>
      </c>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98.61</v>
      </c>
      <c r="D209">
        <v>98.62</v>
      </c>
      <c r="E209">
        <v>98.44</v>
      </c>
      <c r="F209">
        <v>98.613269111249224</v>
      </c>
      <c r="G209">
        <v>98.739394389469581</v>
      </c>
      <c r="H209">
        <v>98.362100883301807</v>
      </c>
      <c r="I209">
        <v>98.31100470622961</v>
      </c>
      <c r="J209">
        <v>98.34</v>
      </c>
      <c r="K209">
        <v>97.89</v>
      </c>
      <c r="L209">
        <v>98.44</v>
      </c>
      <c r="M209">
        <v>98.07</v>
      </c>
      <c r="N209">
        <v>98.03</v>
      </c>
      <c r="O209">
        <v>98.78</v>
      </c>
      <c r="P209">
        <v>98.21</v>
      </c>
      <c r="Q209">
        <v>98.34</v>
      </c>
      <c r="R209">
        <v>99.064016891230054</v>
      </c>
      <c r="S209">
        <v>98.875114296042696</v>
      </c>
      <c r="T209">
        <v>98.264722170943301</v>
      </c>
      <c r="U209">
        <v>98.558699763190631</v>
      </c>
      <c r="V209">
        <v>99.18</v>
      </c>
      <c r="W209">
        <v>97.99</v>
      </c>
      <c r="X209">
        <v>99.07</v>
      </c>
      <c r="Y209">
        <v>98.55</v>
      </c>
      <c r="Z209">
        <v>99.07</v>
      </c>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99.14</v>
      </c>
      <c r="D210">
        <v>99.11</v>
      </c>
      <c r="E210">
        <v>99.08</v>
      </c>
      <c r="F210">
        <v>99.130434782608702</v>
      </c>
      <c r="G210">
        <v>99.182266009852214</v>
      </c>
      <c r="H210">
        <v>99.312650690679405</v>
      </c>
      <c r="I210">
        <v>99.254440830622968</v>
      </c>
      <c r="J210">
        <v>99.05</v>
      </c>
      <c r="K210">
        <v>98.97</v>
      </c>
      <c r="L210">
        <v>99.05</v>
      </c>
      <c r="M210">
        <v>99.15</v>
      </c>
      <c r="N210">
        <v>99.02</v>
      </c>
      <c r="O210">
        <v>98.95</v>
      </c>
      <c r="P210">
        <v>98.75</v>
      </c>
      <c r="Q210">
        <v>98.8</v>
      </c>
      <c r="R210">
        <v>98.585687581561032</v>
      </c>
      <c r="S210">
        <v>99.259335459314883</v>
      </c>
      <c r="T210">
        <v>99.533024374712497</v>
      </c>
      <c r="U210">
        <v>99.178782983306419</v>
      </c>
      <c r="V210">
        <v>99.12</v>
      </c>
      <c r="W210">
        <v>99.11</v>
      </c>
      <c r="X210">
        <v>99.28</v>
      </c>
      <c r="Y210">
        <v>99.31</v>
      </c>
      <c r="Z210">
        <v>98.74</v>
      </c>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98.3</v>
      </c>
      <c r="D211">
        <v>98.29</v>
      </c>
      <c r="E211">
        <v>98.21</v>
      </c>
      <c r="F211">
        <v>97.886664993039233</v>
      </c>
      <c r="G211">
        <v>98.0677693494751</v>
      </c>
      <c r="H211">
        <v>97.974740919298597</v>
      </c>
      <c r="I211">
        <v>97.823579174036752</v>
      </c>
      <c r="J211">
        <v>97.76</v>
      </c>
      <c r="K211">
        <v>96.79</v>
      </c>
      <c r="L211">
        <v>97.89</v>
      </c>
      <c r="M211">
        <v>97.72</v>
      </c>
      <c r="N211">
        <v>97.82</v>
      </c>
      <c r="O211">
        <v>98.78</v>
      </c>
      <c r="P211">
        <v>98.81</v>
      </c>
      <c r="Q211">
        <v>98.82</v>
      </c>
      <c r="R211">
        <v>98.719853940217391</v>
      </c>
      <c r="S211">
        <v>98.898615049521226</v>
      </c>
      <c r="T211">
        <v>99.442670421864705</v>
      </c>
      <c r="U211">
        <v>98.465599422700777</v>
      </c>
      <c r="V211">
        <v>97.35</v>
      </c>
      <c r="W211">
        <v>95.76</v>
      </c>
      <c r="X211">
        <v>98.46</v>
      </c>
      <c r="Y211">
        <v>98.48</v>
      </c>
      <c r="Z211">
        <v>99.1</v>
      </c>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98.89</v>
      </c>
      <c r="D212">
        <v>98.85</v>
      </c>
      <c r="E212">
        <v>99.22</v>
      </c>
      <c r="F212">
        <v>98.976163181404914</v>
      </c>
      <c r="G212">
        <v>98.924086223055298</v>
      </c>
      <c r="H212">
        <v>98.928739459302903</v>
      </c>
      <c r="I212">
        <v>98.814189528690591</v>
      </c>
      <c r="J212">
        <v>98.9</v>
      </c>
      <c r="K212">
        <v>97.76</v>
      </c>
      <c r="L212">
        <v>97.91</v>
      </c>
      <c r="M212">
        <v>97.8</v>
      </c>
      <c r="N212">
        <v>97.94</v>
      </c>
      <c r="O212">
        <v>98.73</v>
      </c>
      <c r="P212">
        <v>98.79</v>
      </c>
      <c r="Q212">
        <v>98.48</v>
      </c>
      <c r="R212">
        <v>98.910184141300263</v>
      </c>
      <c r="S212">
        <v>99.204753199268737</v>
      </c>
      <c r="T212">
        <v>98.943208968939501</v>
      </c>
      <c r="U212">
        <v>99.252173913043478</v>
      </c>
      <c r="V212">
        <v>99</v>
      </c>
      <c r="W212">
        <v>98.91</v>
      </c>
      <c r="X212">
        <v>98.84</v>
      </c>
      <c r="Y212">
        <v>98.36</v>
      </c>
      <c r="Z212">
        <v>98.51</v>
      </c>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92.05</v>
      </c>
      <c r="D213">
        <v>92.17</v>
      </c>
      <c r="E213">
        <v>91.61</v>
      </c>
      <c r="F213">
        <v>91.970424985502447</v>
      </c>
      <c r="G213">
        <v>90.886240562100895</v>
      </c>
      <c r="H213">
        <v>89.985744189403704</v>
      </c>
      <c r="I213">
        <v>92.170151045313602</v>
      </c>
      <c r="J213">
        <v>92.16</v>
      </c>
      <c r="K213">
        <v>92.71</v>
      </c>
      <c r="L213">
        <v>91.85</v>
      </c>
      <c r="M213">
        <v>92.01</v>
      </c>
      <c r="N213">
        <v>92.39</v>
      </c>
      <c r="O213">
        <v>93.19</v>
      </c>
      <c r="P213">
        <v>94.04</v>
      </c>
      <c r="Q213">
        <v>92.78</v>
      </c>
      <c r="R213">
        <v>92.245868013096128</v>
      </c>
      <c r="S213">
        <v>92.701430996846952</v>
      </c>
      <c r="T213">
        <v>91.641408490815493</v>
      </c>
      <c r="U213">
        <v>95.667489978539905</v>
      </c>
      <c r="V213">
        <v>97.01</v>
      </c>
      <c r="W213">
        <v>91.93</v>
      </c>
      <c r="X213">
        <v>94.93</v>
      </c>
      <c r="Y213">
        <v>95.37</v>
      </c>
      <c r="Z213">
        <v>95.22</v>
      </c>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98.19</v>
      </c>
      <c r="D214">
        <v>98.02</v>
      </c>
      <c r="E214">
        <v>98.33</v>
      </c>
      <c r="F214">
        <v>98.48982902516596</v>
      </c>
      <c r="G214">
        <v>98.21268630430626</v>
      </c>
      <c r="H214">
        <v>98.535869770963401</v>
      </c>
      <c r="I214">
        <v>98.635051108079864</v>
      </c>
      <c r="J214">
        <v>97.86</v>
      </c>
      <c r="K214">
        <v>97.43</v>
      </c>
      <c r="L214">
        <v>96.44</v>
      </c>
      <c r="M214">
        <v>95.5</v>
      </c>
      <c r="N214">
        <v>95.17</v>
      </c>
      <c r="O214">
        <v>96.54</v>
      </c>
      <c r="P214">
        <v>97.29</v>
      </c>
      <c r="Q214">
        <v>97.43</v>
      </c>
      <c r="R214">
        <v>96.809441820647734</v>
      </c>
      <c r="S214">
        <v>96.935765682830137</v>
      </c>
      <c r="T214">
        <v>98.884919773431406</v>
      </c>
      <c r="U214">
        <v>98.229475573591387</v>
      </c>
      <c r="V214">
        <v>97.44</v>
      </c>
      <c r="W214">
        <v>90.3</v>
      </c>
      <c r="X214">
        <v>94.87</v>
      </c>
      <c r="Y214">
        <v>96.14</v>
      </c>
      <c r="Z214">
        <v>95.02</v>
      </c>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97.26</v>
      </c>
      <c r="D215">
        <v>96.18</v>
      </c>
      <c r="E215">
        <v>96.29</v>
      </c>
      <c r="F215">
        <v>96.21195685861278</v>
      </c>
      <c r="G215">
        <v>96.293879971827863</v>
      </c>
      <c r="H215">
        <v>96.266131183913004</v>
      </c>
      <c r="I215">
        <v>96.003410842543701</v>
      </c>
      <c r="J215">
        <v>95.81</v>
      </c>
      <c r="K215">
        <v>95.03</v>
      </c>
      <c r="L215">
        <v>94.82</v>
      </c>
      <c r="M215">
        <v>95</v>
      </c>
      <c r="N215">
        <v>94.85</v>
      </c>
      <c r="O215">
        <v>97.96</v>
      </c>
      <c r="P215">
        <v>97.78</v>
      </c>
      <c r="Q215">
        <v>98.37</v>
      </c>
      <c r="R215">
        <v>99.304059652029835</v>
      </c>
      <c r="S215">
        <v>99.256470461231203</v>
      </c>
      <c r="T215">
        <v>98.732107472944605</v>
      </c>
      <c r="U215">
        <v>99.223824727512934</v>
      </c>
      <c r="V215">
        <v>98.34</v>
      </c>
      <c r="W215">
        <v>96.35</v>
      </c>
      <c r="X215">
        <v>97.29</v>
      </c>
      <c r="Y215">
        <v>99.37</v>
      </c>
      <c r="Z215">
        <v>98.81</v>
      </c>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98.47</v>
      </c>
      <c r="D216">
        <v>98.49</v>
      </c>
      <c r="E216">
        <v>98.37</v>
      </c>
      <c r="F216">
        <v>98.737262426426739</v>
      </c>
      <c r="G216">
        <v>98.577788770714818</v>
      </c>
      <c r="H216">
        <v>98.424332554351594</v>
      </c>
      <c r="I216">
        <v>98.544138123085489</v>
      </c>
      <c r="J216">
        <v>98.4</v>
      </c>
      <c r="K216">
        <v>97.52</v>
      </c>
      <c r="L216">
        <v>98.06</v>
      </c>
      <c r="M216">
        <v>98.28</v>
      </c>
      <c r="N216">
        <v>98.03</v>
      </c>
      <c r="O216">
        <v>97.46</v>
      </c>
      <c r="P216">
        <v>97.2</v>
      </c>
      <c r="Q216">
        <v>96.58</v>
      </c>
      <c r="R216">
        <v>98.064428435503601</v>
      </c>
      <c r="S216">
        <v>98.194799946113434</v>
      </c>
      <c r="T216">
        <v>98.196280528792201</v>
      </c>
      <c r="U216">
        <v>98.264163283102164</v>
      </c>
      <c r="V216">
        <v>97.43</v>
      </c>
      <c r="W216">
        <v>92.69</v>
      </c>
      <c r="X216">
        <v>96.5</v>
      </c>
      <c r="Y216">
        <v>96.45</v>
      </c>
      <c r="Z216">
        <v>97.26</v>
      </c>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95.31</v>
      </c>
      <c r="D217">
        <v>93.71</v>
      </c>
      <c r="E217">
        <v>94.04</v>
      </c>
      <c r="F217">
        <v>94.333768856158684</v>
      </c>
      <c r="G217">
        <v>94.410503290203664</v>
      </c>
      <c r="H217">
        <v>93.670534435968094</v>
      </c>
      <c r="I217">
        <v>93.05494365923262</v>
      </c>
      <c r="J217">
        <v>92.81</v>
      </c>
      <c r="K217">
        <v>90.08</v>
      </c>
      <c r="L217">
        <v>90.93</v>
      </c>
      <c r="M217">
        <v>92.03</v>
      </c>
      <c r="N217">
        <v>92.26</v>
      </c>
      <c r="O217">
        <v>97.13</v>
      </c>
      <c r="P217">
        <v>97.62</v>
      </c>
      <c r="Q217">
        <v>97.5</v>
      </c>
      <c r="R217">
        <v>97.826657021430506</v>
      </c>
      <c r="S217">
        <v>97.77230149463908</v>
      </c>
      <c r="T217">
        <v>97.930729778725095</v>
      </c>
      <c r="U217">
        <v>97.53105426138363</v>
      </c>
      <c r="V217">
        <v>98.33</v>
      </c>
      <c r="W217">
        <v>92.75</v>
      </c>
      <c r="X217">
        <v>96.77</v>
      </c>
      <c r="Y217">
        <v>98.7</v>
      </c>
      <c r="Z217">
        <v>97.77</v>
      </c>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98.27</v>
      </c>
      <c r="D218">
        <v>98.1</v>
      </c>
      <c r="E218">
        <v>98.26</v>
      </c>
      <c r="F218">
        <v>98.382443003529332</v>
      </c>
      <c r="G218">
        <v>98.381696762794604</v>
      </c>
      <c r="H218">
        <v>98.437482224724903</v>
      </c>
      <c r="I218">
        <v>98.21511954291951</v>
      </c>
      <c r="J218">
        <v>98.12</v>
      </c>
      <c r="K218">
        <v>97.73</v>
      </c>
      <c r="L218">
        <v>98.07</v>
      </c>
      <c r="M218">
        <v>98.15</v>
      </c>
      <c r="N218">
        <v>97.82</v>
      </c>
      <c r="O218">
        <v>98.42</v>
      </c>
      <c r="P218">
        <v>98.33</v>
      </c>
      <c r="Q218">
        <v>98.68</v>
      </c>
      <c r="R218">
        <v>99.14242538723083</v>
      </c>
      <c r="S218">
        <v>98.829212984644201</v>
      </c>
      <c r="T218">
        <v>98.944970777067098</v>
      </c>
      <c r="U218">
        <v>98.803473862524754</v>
      </c>
      <c r="V218">
        <v>98.77</v>
      </c>
      <c r="W218">
        <v>98.65</v>
      </c>
      <c r="X218">
        <v>98.63</v>
      </c>
      <c r="Y218">
        <v>98.18</v>
      </c>
      <c r="Z218">
        <v>99</v>
      </c>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95.3</v>
      </c>
      <c r="D219">
        <v>94.82</v>
      </c>
      <c r="E219">
        <v>95.96</v>
      </c>
      <c r="F219">
        <v>96.516821554643045</v>
      </c>
      <c r="G219">
        <v>96.788336052202283</v>
      </c>
      <c r="H219">
        <v>96.790372720571696</v>
      </c>
      <c r="I219">
        <v>96.468315185645608</v>
      </c>
      <c r="J219">
        <v>96.05</v>
      </c>
      <c r="K219">
        <v>92.72</v>
      </c>
      <c r="L219">
        <v>93.92</v>
      </c>
      <c r="M219">
        <v>95.65</v>
      </c>
      <c r="N219">
        <v>94.61</v>
      </c>
      <c r="O219">
        <v>94.92</v>
      </c>
      <c r="P219">
        <v>96.23</v>
      </c>
      <c r="Q219">
        <v>96.77</v>
      </c>
      <c r="R219">
        <v>97.11970563693211</v>
      </c>
      <c r="S219">
        <v>97.453627810398103</v>
      </c>
      <c r="T219">
        <v>97.627941550071</v>
      </c>
      <c r="U219">
        <v>97.293706683513264</v>
      </c>
      <c r="V219">
        <v>95.79</v>
      </c>
      <c r="W219">
        <v>89.95</v>
      </c>
      <c r="X219">
        <v>96.15</v>
      </c>
      <c r="Y219">
        <v>98.65</v>
      </c>
      <c r="Z219">
        <v>98.93</v>
      </c>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98.65</v>
      </c>
      <c r="D220">
        <v>98.58</v>
      </c>
      <c r="E220">
        <v>98.58</v>
      </c>
      <c r="F220">
        <v>98.489410820034124</v>
      </c>
      <c r="G220">
        <v>98.464163822525592</v>
      </c>
      <c r="H220">
        <v>98.1111826572225</v>
      </c>
      <c r="I220">
        <v>98.087739032620931</v>
      </c>
      <c r="J220">
        <v>97.84</v>
      </c>
      <c r="K220">
        <v>97.77</v>
      </c>
      <c r="L220">
        <v>97.88</v>
      </c>
      <c r="M220">
        <v>97.4</v>
      </c>
      <c r="N220">
        <v>97.25</v>
      </c>
      <c r="O220">
        <v>99.05</v>
      </c>
      <c r="P220">
        <v>99.02</v>
      </c>
      <c r="Q220">
        <v>98.83</v>
      </c>
      <c r="R220">
        <v>96.912010042780921</v>
      </c>
      <c r="S220">
        <v>98.781435090785507</v>
      </c>
      <c r="T220">
        <v>98.860160323631504</v>
      </c>
      <c r="U220">
        <v>98.340614953425103</v>
      </c>
      <c r="V220">
        <v>98.04</v>
      </c>
      <c r="W220">
        <v>96.67</v>
      </c>
      <c r="X220">
        <v>97.19</v>
      </c>
      <c r="Y220">
        <v>97.48</v>
      </c>
      <c r="Z220">
        <v>96.82</v>
      </c>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t="s">
        <v>879</v>
      </c>
      <c r="D221" t="s">
        <v>879</v>
      </c>
      <c r="E221" t="s">
        <v>879</v>
      </c>
      <c r="F221" t="s">
        <v>879</v>
      </c>
      <c r="G221" t="s">
        <v>879</v>
      </c>
      <c r="H221" t="s">
        <v>879</v>
      </c>
      <c r="I221" t="s">
        <v>879</v>
      </c>
      <c r="J221" t="s">
        <v>879</v>
      </c>
      <c r="K221" t="s">
        <v>879</v>
      </c>
      <c r="L221" t="s">
        <v>879</v>
      </c>
      <c r="M221" t="s">
        <v>879</v>
      </c>
      <c r="N221">
        <v>96.58</v>
      </c>
      <c r="O221" t="s">
        <v>879</v>
      </c>
      <c r="P221" t="s">
        <v>879</v>
      </c>
      <c r="Q221" t="s">
        <v>879</v>
      </c>
      <c r="R221" t="s">
        <v>879</v>
      </c>
      <c r="S221" t="s">
        <v>879</v>
      </c>
      <c r="T221" t="s">
        <v>879</v>
      </c>
      <c r="U221" t="s">
        <v>879</v>
      </c>
      <c r="V221" t="s">
        <v>879</v>
      </c>
      <c r="W221" t="s">
        <v>879</v>
      </c>
      <c r="X221" t="s">
        <v>879</v>
      </c>
      <c r="Y221" t="s">
        <v>879</v>
      </c>
      <c r="Z221">
        <v>96.41</v>
      </c>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99.27</v>
      </c>
      <c r="D222">
        <v>99.07</v>
      </c>
      <c r="E222">
        <v>99.25</v>
      </c>
      <c r="F222">
        <v>99.435620175343217</v>
      </c>
      <c r="G222">
        <v>99.401082658271591</v>
      </c>
      <c r="H222">
        <v>99.339360545608201</v>
      </c>
      <c r="I222">
        <v>99.372876011631575</v>
      </c>
      <c r="J222">
        <v>99.25</v>
      </c>
      <c r="K222">
        <v>99.05</v>
      </c>
      <c r="L222">
        <v>99.15</v>
      </c>
      <c r="M222">
        <v>99.24</v>
      </c>
      <c r="N222">
        <v>99.3</v>
      </c>
      <c r="O222">
        <v>99.52</v>
      </c>
      <c r="P222">
        <v>98.74</v>
      </c>
      <c r="Q222">
        <v>99.38</v>
      </c>
      <c r="R222">
        <v>99.443532950505869</v>
      </c>
      <c r="S222">
        <v>99.464676360828719</v>
      </c>
      <c r="T222">
        <v>99.4480847080562</v>
      </c>
      <c r="U222">
        <v>99.502127274373137</v>
      </c>
      <c r="V222">
        <v>99.38</v>
      </c>
      <c r="W222">
        <v>98.16</v>
      </c>
      <c r="X222">
        <v>99.02</v>
      </c>
      <c r="Y222">
        <v>98.21</v>
      </c>
      <c r="Z222">
        <v>98.91</v>
      </c>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97.85</v>
      </c>
      <c r="D223">
        <v>97.79</v>
      </c>
      <c r="E223">
        <v>98.07</v>
      </c>
      <c r="F223">
        <v>98.251195718589997</v>
      </c>
      <c r="G223">
        <v>98.037305122494431</v>
      </c>
      <c r="H223">
        <v>98.130175740997402</v>
      </c>
      <c r="I223">
        <v>98.088427661986572</v>
      </c>
      <c r="J223">
        <v>98.1</v>
      </c>
      <c r="K223">
        <v>97.06</v>
      </c>
      <c r="L223">
        <v>97.64</v>
      </c>
      <c r="M223">
        <v>97.95</v>
      </c>
      <c r="N223">
        <v>98.09</v>
      </c>
      <c r="O223">
        <v>98.31</v>
      </c>
      <c r="P223">
        <v>98.14</v>
      </c>
      <c r="Q223">
        <v>98.08</v>
      </c>
      <c r="R223">
        <v>98.374155405405403</v>
      </c>
      <c r="S223">
        <v>97.483345669874168</v>
      </c>
      <c r="T223">
        <v>97.399033341525296</v>
      </c>
      <c r="U223">
        <v>97.775456515010831</v>
      </c>
      <c r="V223">
        <v>97.88</v>
      </c>
      <c r="W223">
        <v>95.94</v>
      </c>
      <c r="X223">
        <v>97.58</v>
      </c>
      <c r="Y223">
        <v>98.71</v>
      </c>
      <c r="Z223">
        <v>98.79</v>
      </c>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98.28</v>
      </c>
      <c r="D224">
        <v>98.36</v>
      </c>
      <c r="E224">
        <v>98.04</v>
      </c>
      <c r="F224">
        <v>98.276808566763862</v>
      </c>
      <c r="G224">
        <v>98.357901838421327</v>
      </c>
      <c r="H224">
        <v>98.183944723777799</v>
      </c>
      <c r="I224">
        <v>98.176347710494454</v>
      </c>
      <c r="J224">
        <v>97.84</v>
      </c>
      <c r="K224">
        <v>97.18</v>
      </c>
      <c r="L224">
        <v>96.44</v>
      </c>
      <c r="M224">
        <v>96.69</v>
      </c>
      <c r="N224">
        <v>97.24</v>
      </c>
      <c r="O224">
        <v>99.22</v>
      </c>
      <c r="P224">
        <v>99.02</v>
      </c>
      <c r="Q224">
        <v>99.17</v>
      </c>
      <c r="R224">
        <v>99.145830741800395</v>
      </c>
      <c r="S224">
        <v>99.079547954245498</v>
      </c>
      <c r="T224">
        <v>98.684315977880402</v>
      </c>
      <c r="U224">
        <v>98.760126944077584</v>
      </c>
      <c r="V224">
        <v>99.26</v>
      </c>
      <c r="W224">
        <v>95.59</v>
      </c>
      <c r="X224">
        <v>97.19</v>
      </c>
      <c r="Y224">
        <v>98.18</v>
      </c>
      <c r="Z224">
        <v>98.16</v>
      </c>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98.97</v>
      </c>
      <c r="D225">
        <v>98.76</v>
      </c>
      <c r="E225">
        <v>98.33</v>
      </c>
      <c r="F225">
        <v>98.172323759791126</v>
      </c>
      <c r="G225">
        <v>98.11647645992943</v>
      </c>
      <c r="H225">
        <v>98.147256977863293</v>
      </c>
      <c r="I225">
        <v>98.238592009083817</v>
      </c>
      <c r="J225">
        <v>98.3</v>
      </c>
      <c r="K225">
        <v>97.81</v>
      </c>
      <c r="L225">
        <v>98.34</v>
      </c>
      <c r="M225">
        <v>98.55</v>
      </c>
      <c r="N225">
        <v>98.35</v>
      </c>
      <c r="O225">
        <v>99.24</v>
      </c>
      <c r="P225">
        <v>98.56</v>
      </c>
      <c r="Q225">
        <v>98.61</v>
      </c>
      <c r="R225">
        <v>98.184213002163887</v>
      </c>
      <c r="S225">
        <v>96.828006088280063</v>
      </c>
      <c r="T225">
        <v>97.675771779537698</v>
      </c>
      <c r="U225">
        <v>98.403539142142719</v>
      </c>
      <c r="V225">
        <v>98.67</v>
      </c>
      <c r="W225">
        <v>91.74</v>
      </c>
      <c r="X225">
        <v>98.13</v>
      </c>
      <c r="Y225">
        <v>97.95</v>
      </c>
      <c r="Z225">
        <v>98.93</v>
      </c>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97.9</v>
      </c>
      <c r="D226">
        <v>97.94</v>
      </c>
      <c r="E226">
        <v>97.86</v>
      </c>
      <c r="F226">
        <v>98.053341508277128</v>
      </c>
      <c r="G226">
        <v>98.18491484184915</v>
      </c>
      <c r="H226">
        <v>98.067197783165895</v>
      </c>
      <c r="I226">
        <v>97.822420205864546</v>
      </c>
      <c r="J226">
        <v>97.62</v>
      </c>
      <c r="K226">
        <v>96.9</v>
      </c>
      <c r="L226">
        <v>96.9</v>
      </c>
      <c r="M226">
        <v>96.55</v>
      </c>
      <c r="N226">
        <v>96.19</v>
      </c>
      <c r="O226">
        <v>98.47</v>
      </c>
      <c r="P226">
        <v>98.9</v>
      </c>
      <c r="Q226">
        <v>98.36</v>
      </c>
      <c r="R226">
        <v>98.636994811079433</v>
      </c>
      <c r="S226">
        <v>98.683291036816357</v>
      </c>
      <c r="T226">
        <v>98.744991305662595</v>
      </c>
      <c r="U226">
        <v>98.296043858349378</v>
      </c>
      <c r="V226">
        <v>97.32</v>
      </c>
      <c r="W226">
        <v>92.46</v>
      </c>
      <c r="X226">
        <v>98.5</v>
      </c>
      <c r="Y226">
        <v>96.26</v>
      </c>
      <c r="Z226">
        <v>95.16</v>
      </c>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98.39</v>
      </c>
      <c r="D227">
        <v>98.14</v>
      </c>
      <c r="E227">
        <v>98.71</v>
      </c>
      <c r="F227">
        <v>98.742746615087043</v>
      </c>
      <c r="G227">
        <v>98.801895079417662</v>
      </c>
      <c r="H227">
        <v>98.799983504927894</v>
      </c>
      <c r="I227">
        <v>98.770942493046121</v>
      </c>
      <c r="J227">
        <v>98.45</v>
      </c>
      <c r="K227">
        <v>98.4</v>
      </c>
      <c r="L227">
        <v>98.64</v>
      </c>
      <c r="M227">
        <v>98.48</v>
      </c>
      <c r="N227">
        <v>98.37</v>
      </c>
      <c r="O227">
        <v>96.7</v>
      </c>
      <c r="P227">
        <v>97.71</v>
      </c>
      <c r="Q227">
        <v>98.37</v>
      </c>
      <c r="R227">
        <v>98.629427860083325</v>
      </c>
      <c r="S227">
        <v>99.049165666407774</v>
      </c>
      <c r="T227">
        <v>99.029242857486096</v>
      </c>
      <c r="U227">
        <v>98.875856462664032</v>
      </c>
      <c r="V227">
        <v>99.16</v>
      </c>
      <c r="W227">
        <v>97.73</v>
      </c>
      <c r="X227">
        <v>98.32</v>
      </c>
      <c r="Y227">
        <v>97.95</v>
      </c>
      <c r="Z227">
        <v>99.05</v>
      </c>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98.69</v>
      </c>
      <c r="D228">
        <v>98.57</v>
      </c>
      <c r="E228">
        <v>98.5</v>
      </c>
      <c r="F228">
        <v>98.619130236923695</v>
      </c>
      <c r="G228">
        <v>98.637741696422552</v>
      </c>
      <c r="H228">
        <v>98.453504719823201</v>
      </c>
      <c r="I228">
        <v>98.297398545597929</v>
      </c>
      <c r="J228">
        <v>98.36</v>
      </c>
      <c r="K228">
        <v>98.15</v>
      </c>
      <c r="L228">
        <v>98.22</v>
      </c>
      <c r="M228">
        <v>98.28</v>
      </c>
      <c r="N228">
        <v>97.23</v>
      </c>
      <c r="O228">
        <v>98.52</v>
      </c>
      <c r="P228">
        <v>98.47</v>
      </c>
      <c r="Q228">
        <v>97.84</v>
      </c>
      <c r="R228">
        <v>97.080220533063638</v>
      </c>
      <c r="S228">
        <v>97.801478155112733</v>
      </c>
      <c r="T228">
        <v>98.262040869965105</v>
      </c>
      <c r="U228">
        <v>98.001972574846491</v>
      </c>
      <c r="V228">
        <v>97.94</v>
      </c>
      <c r="W228">
        <v>97.02</v>
      </c>
      <c r="X228">
        <v>98.86</v>
      </c>
      <c r="Y228">
        <v>98.88</v>
      </c>
      <c r="Z228">
        <v>98</v>
      </c>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98.78</v>
      </c>
      <c r="D229">
        <v>98.75</v>
      </c>
      <c r="E229">
        <v>98.73</v>
      </c>
      <c r="F229">
        <v>98.744906827390835</v>
      </c>
      <c r="G229">
        <v>98.766776262599038</v>
      </c>
      <c r="H229">
        <v>98.808829994989907</v>
      </c>
      <c r="I229">
        <v>98.58917285492312</v>
      </c>
      <c r="J229">
        <v>98.28</v>
      </c>
      <c r="K229">
        <v>96.95</v>
      </c>
      <c r="L229">
        <v>97.51</v>
      </c>
      <c r="M229">
        <v>97.99</v>
      </c>
      <c r="N229">
        <v>97.94</v>
      </c>
      <c r="O229">
        <v>98.55</v>
      </c>
      <c r="P229">
        <v>98.59</v>
      </c>
      <c r="Q229">
        <v>98.99</v>
      </c>
      <c r="R229">
        <v>98.988987599481774</v>
      </c>
      <c r="S229">
        <v>98.986677523693203</v>
      </c>
      <c r="T229">
        <v>99.014676496933703</v>
      </c>
      <c r="U229">
        <v>99.023385596598459</v>
      </c>
      <c r="V229">
        <v>98.79</v>
      </c>
      <c r="W229">
        <v>88.47</v>
      </c>
      <c r="X229">
        <v>93.64</v>
      </c>
      <c r="Y229">
        <v>95.44</v>
      </c>
      <c r="Z229">
        <v>93.92</v>
      </c>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97.6</v>
      </c>
      <c r="D230">
        <v>97.4</v>
      </c>
      <c r="E230">
        <v>97.44</v>
      </c>
      <c r="F230">
        <v>97.175344536000864</v>
      </c>
      <c r="G230">
        <v>97.428285408540162</v>
      </c>
      <c r="H230">
        <v>97.498049242109801</v>
      </c>
      <c r="I230">
        <v>97.420523390169251</v>
      </c>
      <c r="J230">
        <v>97.48</v>
      </c>
      <c r="K230" t="s">
        <v>879</v>
      </c>
      <c r="L230">
        <v>96.46</v>
      </c>
      <c r="M230">
        <v>96.78</v>
      </c>
      <c r="N230">
        <v>96.37</v>
      </c>
      <c r="O230">
        <v>97.76</v>
      </c>
      <c r="P230">
        <v>97.62</v>
      </c>
      <c r="Q230">
        <v>97.98</v>
      </c>
      <c r="R230">
        <v>98.103817884850969</v>
      </c>
      <c r="S230">
        <v>98.255654129701369</v>
      </c>
      <c r="T230">
        <v>98.207857049007998</v>
      </c>
      <c r="U230">
        <v>98.814388643940205</v>
      </c>
      <c r="V230">
        <v>98.5</v>
      </c>
      <c r="W230" t="s">
        <v>879</v>
      </c>
      <c r="X230">
        <v>96.13</v>
      </c>
      <c r="Y230">
        <v>94.46</v>
      </c>
      <c r="Z230">
        <v>97.27</v>
      </c>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98.02</v>
      </c>
      <c r="D231">
        <v>98.13</v>
      </c>
      <c r="E231">
        <v>98.27</v>
      </c>
      <c r="F231">
        <v>98.204304469740578</v>
      </c>
      <c r="G231">
        <v>98.297213622291025</v>
      </c>
      <c r="H231">
        <v>98.287792910921198</v>
      </c>
      <c r="I231">
        <v>98.285559933901098</v>
      </c>
      <c r="J231">
        <v>98.08</v>
      </c>
      <c r="K231">
        <v>97.44</v>
      </c>
      <c r="L231">
        <v>97.75</v>
      </c>
      <c r="M231">
        <v>97.96</v>
      </c>
      <c r="N231">
        <v>98.07</v>
      </c>
      <c r="O231">
        <v>97.04</v>
      </c>
      <c r="P231">
        <v>97.29</v>
      </c>
      <c r="Q231">
        <v>98.08</v>
      </c>
      <c r="R231">
        <v>98.265054393982282</v>
      </c>
      <c r="S231">
        <v>98.472544470224292</v>
      </c>
      <c r="T231">
        <v>98.725962495520903</v>
      </c>
      <c r="U231">
        <v>98.81805851579152</v>
      </c>
      <c r="V231">
        <v>98.49</v>
      </c>
      <c r="W231">
        <v>98.83</v>
      </c>
      <c r="X231">
        <v>98.96</v>
      </c>
      <c r="Y231">
        <v>98.94</v>
      </c>
      <c r="Z231">
        <v>97.73</v>
      </c>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97.14</v>
      </c>
      <c r="D232">
        <v>96.22</v>
      </c>
      <c r="E232">
        <v>96.02</v>
      </c>
      <c r="F232">
        <v>95.903404338618685</v>
      </c>
      <c r="G232">
        <v>95.973097798604329</v>
      </c>
      <c r="H232">
        <v>95.577832059131396</v>
      </c>
      <c r="I232">
        <v>95.107997490514734</v>
      </c>
      <c r="J232">
        <v>95.04</v>
      </c>
      <c r="K232">
        <v>92.93</v>
      </c>
      <c r="L232">
        <v>92.95</v>
      </c>
      <c r="M232">
        <v>93.94</v>
      </c>
      <c r="N232">
        <v>93.87</v>
      </c>
      <c r="O232">
        <v>97.42</v>
      </c>
      <c r="P232">
        <v>97.97</v>
      </c>
      <c r="Q232">
        <v>97.99</v>
      </c>
      <c r="R232">
        <v>99.04061799152754</v>
      </c>
      <c r="S232">
        <v>98.243301244711517</v>
      </c>
      <c r="T232">
        <v>99.386425051661107</v>
      </c>
      <c r="U232">
        <v>99.372498799423724</v>
      </c>
      <c r="V232">
        <v>98.8</v>
      </c>
      <c r="W232">
        <v>96.93</v>
      </c>
      <c r="X232">
        <v>96.96</v>
      </c>
      <c r="Y232">
        <v>97.27</v>
      </c>
      <c r="Z232">
        <v>98.11</v>
      </c>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95.49</v>
      </c>
      <c r="D233">
        <v>95.13</v>
      </c>
      <c r="E233">
        <v>94.91</v>
      </c>
      <c r="F233">
        <v>95.201913308499826</v>
      </c>
      <c r="G233">
        <v>95.309694110485466</v>
      </c>
      <c r="H233">
        <v>95.023105316594993</v>
      </c>
      <c r="I233">
        <v>94.872744916413041</v>
      </c>
      <c r="J233">
        <v>94.39</v>
      </c>
      <c r="K233">
        <v>92.89</v>
      </c>
      <c r="L233">
        <v>92.67</v>
      </c>
      <c r="M233">
        <v>93.61</v>
      </c>
      <c r="N233">
        <v>93.89</v>
      </c>
      <c r="O233">
        <v>98.63</v>
      </c>
      <c r="P233">
        <v>98.89</v>
      </c>
      <c r="Q233">
        <v>98.85</v>
      </c>
      <c r="R233">
        <v>98.925915466440742</v>
      </c>
      <c r="S233">
        <v>97.321362595137799</v>
      </c>
      <c r="T233">
        <v>97.146430299323498</v>
      </c>
      <c r="U233">
        <v>97.689748201438846</v>
      </c>
      <c r="V233">
        <v>97.56</v>
      </c>
      <c r="W233">
        <v>93.89</v>
      </c>
      <c r="X233">
        <v>96</v>
      </c>
      <c r="Y233">
        <v>96.02</v>
      </c>
      <c r="Z233">
        <v>97.05</v>
      </c>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97.94</v>
      </c>
      <c r="D234">
        <v>97.1</v>
      </c>
      <c r="E234">
        <v>96.81</v>
      </c>
      <c r="F234">
        <v>97.23045099341131</v>
      </c>
      <c r="G234">
        <v>97.497654050672509</v>
      </c>
      <c r="H234">
        <v>97.529566062908401</v>
      </c>
      <c r="I234">
        <v>97.333899384419439</v>
      </c>
      <c r="J234">
        <v>97.43</v>
      </c>
      <c r="K234">
        <v>96.66</v>
      </c>
      <c r="L234">
        <v>97.41</v>
      </c>
      <c r="M234">
        <v>97.47</v>
      </c>
      <c r="N234">
        <v>97.58</v>
      </c>
      <c r="O234">
        <v>97.36</v>
      </c>
      <c r="P234">
        <v>97.45</v>
      </c>
      <c r="Q234">
        <v>98.33</v>
      </c>
      <c r="R234">
        <v>97.843631778058011</v>
      </c>
      <c r="S234">
        <v>98.022808974835755</v>
      </c>
      <c r="T234">
        <v>98.645127670661793</v>
      </c>
      <c r="U234">
        <v>98.242530755711783</v>
      </c>
      <c r="V234">
        <v>98.29</v>
      </c>
      <c r="W234">
        <v>90.55</v>
      </c>
      <c r="X234">
        <v>97.32</v>
      </c>
      <c r="Y234">
        <v>98.65</v>
      </c>
      <c r="Z234">
        <v>98.86</v>
      </c>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94.35</v>
      </c>
      <c r="D235">
        <v>95.04</v>
      </c>
      <c r="E235">
        <v>95</v>
      </c>
      <c r="F235">
        <v>95.211904380484498</v>
      </c>
      <c r="G235">
        <v>95.925881424010441</v>
      </c>
      <c r="H235">
        <v>95.467612794906103</v>
      </c>
      <c r="I235">
        <v>95.911717426250163</v>
      </c>
      <c r="J235">
        <v>95.39</v>
      </c>
      <c r="K235">
        <v>92.91</v>
      </c>
      <c r="L235">
        <v>91.92</v>
      </c>
      <c r="M235">
        <v>92.93</v>
      </c>
      <c r="N235">
        <v>92.28</v>
      </c>
      <c r="O235">
        <v>98.21</v>
      </c>
      <c r="P235">
        <v>98.43</v>
      </c>
      <c r="Q235">
        <v>98.73</v>
      </c>
      <c r="R235">
        <v>99.515244237450034</v>
      </c>
      <c r="S235">
        <v>99.319387528193403</v>
      </c>
      <c r="T235">
        <v>99.3597539287057</v>
      </c>
      <c r="U235">
        <v>99.443738028939791</v>
      </c>
      <c r="V235">
        <v>99.7</v>
      </c>
      <c r="W235">
        <v>94.13</v>
      </c>
      <c r="X235">
        <v>98.95</v>
      </c>
      <c r="Y235">
        <v>99.07</v>
      </c>
      <c r="Z235">
        <v>98.56</v>
      </c>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98.52</v>
      </c>
      <c r="D236">
        <v>98.52</v>
      </c>
      <c r="E236">
        <v>98.48</v>
      </c>
      <c r="F236">
        <v>98.475996951993906</v>
      </c>
      <c r="G236">
        <v>98.509162124823519</v>
      </c>
      <c r="H236">
        <v>98.488953277797805</v>
      </c>
      <c r="I236">
        <v>98.418017773556741</v>
      </c>
      <c r="J236">
        <v>98.28</v>
      </c>
      <c r="K236">
        <v>96.75</v>
      </c>
      <c r="L236">
        <v>97.07</v>
      </c>
      <c r="M236">
        <v>97.59</v>
      </c>
      <c r="N236">
        <v>97.5</v>
      </c>
      <c r="O236">
        <v>99.3</v>
      </c>
      <c r="P236">
        <v>99.37</v>
      </c>
      <c r="Q236">
        <v>99.01</v>
      </c>
      <c r="R236">
        <v>98.468373931099151</v>
      </c>
      <c r="S236">
        <v>98.643920460719329</v>
      </c>
      <c r="T236">
        <v>98.658546793905899</v>
      </c>
      <c r="U236">
        <v>99.741917413572338</v>
      </c>
      <c r="V236">
        <v>99.22</v>
      </c>
      <c r="W236">
        <v>85.43</v>
      </c>
      <c r="X236">
        <v>97.17</v>
      </c>
      <c r="Y236">
        <v>96.75</v>
      </c>
      <c r="Z236">
        <v>97.46</v>
      </c>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98.19</v>
      </c>
      <c r="D237">
        <v>98.78</v>
      </c>
      <c r="E237">
        <v>98.97</v>
      </c>
      <c r="F237">
        <v>98.376641063354569</v>
      </c>
      <c r="G237">
        <v>98.963687092240235</v>
      </c>
      <c r="H237">
        <v>98.9000669350729</v>
      </c>
      <c r="I237">
        <v>98.965290806754226</v>
      </c>
      <c r="J237">
        <v>98.43</v>
      </c>
      <c r="K237">
        <v>98.76</v>
      </c>
      <c r="L237">
        <v>98.72</v>
      </c>
      <c r="M237">
        <v>98.67</v>
      </c>
      <c r="N237">
        <v>98.8</v>
      </c>
      <c r="O237">
        <v>98.46</v>
      </c>
      <c r="P237">
        <v>98.69</v>
      </c>
      <c r="Q237">
        <v>99.57</v>
      </c>
      <c r="R237">
        <v>99.571358085605027</v>
      </c>
      <c r="S237">
        <v>99.411946765707214</v>
      </c>
      <c r="T237">
        <v>98.944438186879395</v>
      </c>
      <c r="U237">
        <v>98.144108305797047</v>
      </c>
      <c r="V237">
        <v>99.07</v>
      </c>
      <c r="W237">
        <v>97.61</v>
      </c>
      <c r="X237">
        <v>99.16</v>
      </c>
      <c r="Y237">
        <v>98.25</v>
      </c>
      <c r="Z237">
        <v>98.52</v>
      </c>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96.88</v>
      </c>
      <c r="D238">
        <v>95.56</v>
      </c>
      <c r="E238">
        <v>95.35</v>
      </c>
      <c r="F238">
        <v>95.33214890486633</v>
      </c>
      <c r="G238">
        <v>95.598246145338194</v>
      </c>
      <c r="H238">
        <v>95.473383794515399</v>
      </c>
      <c r="I238">
        <v>95.174504721347901</v>
      </c>
      <c r="J238">
        <v>94.79</v>
      </c>
      <c r="K238">
        <v>93.65</v>
      </c>
      <c r="L238">
        <v>94.12</v>
      </c>
      <c r="M238">
        <v>94.51</v>
      </c>
      <c r="N238">
        <v>94.19</v>
      </c>
      <c r="O238">
        <v>97.04</v>
      </c>
      <c r="P238">
        <v>96.56</v>
      </c>
      <c r="Q238">
        <v>96.96</v>
      </c>
      <c r="R238">
        <v>95.82031033271069</v>
      </c>
      <c r="S238">
        <v>96.186486584088698</v>
      </c>
      <c r="T238">
        <v>96.664162283996902</v>
      </c>
      <c r="U238">
        <v>96.149384852345548</v>
      </c>
      <c r="V238">
        <v>95.01</v>
      </c>
      <c r="W238">
        <v>92.34</v>
      </c>
      <c r="X238">
        <v>95.44</v>
      </c>
      <c r="Y238">
        <v>95.29</v>
      </c>
      <c r="Z238">
        <v>97.15</v>
      </c>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98.2</v>
      </c>
      <c r="D239">
        <v>97.27</v>
      </c>
      <c r="E239">
        <v>97.81</v>
      </c>
      <c r="F239">
        <v>98.401599950389141</v>
      </c>
      <c r="G239">
        <v>98.249708284714117</v>
      </c>
      <c r="H239">
        <v>98.448301928283698</v>
      </c>
      <c r="I239">
        <v>98.355107116757907</v>
      </c>
      <c r="J239">
        <v>98.28</v>
      </c>
      <c r="K239">
        <v>97.37</v>
      </c>
      <c r="L239">
        <v>97.38</v>
      </c>
      <c r="M239">
        <v>97</v>
      </c>
      <c r="N239">
        <v>97.63</v>
      </c>
      <c r="O239">
        <v>97.56</v>
      </c>
      <c r="P239">
        <v>97.84</v>
      </c>
      <c r="Q239">
        <v>98.01</v>
      </c>
      <c r="R239">
        <v>98.087116354620846</v>
      </c>
      <c r="S239">
        <v>98.491922488947651</v>
      </c>
      <c r="T239">
        <v>97.807551766138801</v>
      </c>
      <c r="U239">
        <v>98.400293311720887</v>
      </c>
      <c r="V239">
        <v>97.88</v>
      </c>
      <c r="W239">
        <v>94.99</v>
      </c>
      <c r="X239">
        <v>96.18</v>
      </c>
      <c r="Y239">
        <v>96.36</v>
      </c>
      <c r="Z239">
        <v>97.86</v>
      </c>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98.8</v>
      </c>
      <c r="D240">
        <v>98.63</v>
      </c>
      <c r="E240">
        <v>98.58</v>
      </c>
      <c r="F240">
        <v>98.657174878585366</v>
      </c>
      <c r="G240">
        <v>98.698962767552018</v>
      </c>
      <c r="H240">
        <v>98.598735816007903</v>
      </c>
      <c r="I240">
        <v>98.657573582196704</v>
      </c>
      <c r="J240">
        <v>98.55</v>
      </c>
      <c r="K240">
        <v>98.17</v>
      </c>
      <c r="L240">
        <v>98.46</v>
      </c>
      <c r="M240">
        <v>98.3</v>
      </c>
      <c r="N240">
        <v>98.54</v>
      </c>
      <c r="O240">
        <v>98.72</v>
      </c>
      <c r="P240">
        <v>98.86</v>
      </c>
      <c r="Q240">
        <v>97.92</v>
      </c>
      <c r="R240">
        <v>98.501694197373993</v>
      </c>
      <c r="S240">
        <v>98.761016070502848</v>
      </c>
      <c r="T240">
        <v>98.535231536208002</v>
      </c>
      <c r="U240">
        <v>99.127261969330903</v>
      </c>
      <c r="V240">
        <v>99.3</v>
      </c>
      <c r="W240">
        <v>97.35</v>
      </c>
      <c r="X240">
        <v>99.01</v>
      </c>
      <c r="Y240">
        <v>98.8</v>
      </c>
      <c r="Z240">
        <v>99.2</v>
      </c>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95.52</v>
      </c>
      <c r="D241">
        <v>95.62</v>
      </c>
      <c r="E241">
        <v>95.96</v>
      </c>
      <c r="F241">
        <v>96.295253213170156</v>
      </c>
      <c r="G241">
        <v>96.626161197215552</v>
      </c>
      <c r="H241">
        <v>96.429469449333595</v>
      </c>
      <c r="I241">
        <v>96.210904887290468</v>
      </c>
      <c r="J241">
        <v>96.2</v>
      </c>
      <c r="K241">
        <v>95.14</v>
      </c>
      <c r="L241">
        <v>94.61</v>
      </c>
      <c r="M241">
        <v>94.08</v>
      </c>
      <c r="N241">
        <v>94.37</v>
      </c>
      <c r="O241">
        <v>96.01</v>
      </c>
      <c r="P241">
        <v>96.14</v>
      </c>
      <c r="Q241">
        <v>97.48</v>
      </c>
      <c r="R241">
        <v>98.352109300095876</v>
      </c>
      <c r="S241">
        <v>98.326926524189844</v>
      </c>
      <c r="T241">
        <v>98.574462870680506</v>
      </c>
      <c r="U241">
        <v>98.872845448187917</v>
      </c>
      <c r="V241">
        <v>98.94</v>
      </c>
      <c r="W241">
        <v>98.96</v>
      </c>
      <c r="X241">
        <v>98.16</v>
      </c>
      <c r="Y241">
        <v>98.76</v>
      </c>
      <c r="Z241">
        <v>98.93</v>
      </c>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97.21</v>
      </c>
      <c r="D242">
        <v>96.6</v>
      </c>
      <c r="E242">
        <v>96.67</v>
      </c>
      <c r="F242">
        <v>96.751642504208064</v>
      </c>
      <c r="G242">
        <v>96.937353785536999</v>
      </c>
      <c r="H242">
        <v>96.989643352052994</v>
      </c>
      <c r="I242">
        <v>97.246355302364336</v>
      </c>
      <c r="J242">
        <v>97.14</v>
      </c>
      <c r="K242">
        <v>97.36</v>
      </c>
      <c r="L242">
        <v>97.46</v>
      </c>
      <c r="M242">
        <v>97.47</v>
      </c>
      <c r="N242">
        <v>97.48</v>
      </c>
      <c r="O242">
        <v>94.71</v>
      </c>
      <c r="P242">
        <v>94.66</v>
      </c>
      <c r="Q242">
        <v>96.22</v>
      </c>
      <c r="R242">
        <v>95.980074617686853</v>
      </c>
      <c r="S242">
        <v>96.674466072584252</v>
      </c>
      <c r="T242">
        <v>97.503361480126898</v>
      </c>
      <c r="U242">
        <v>97.519130684660325</v>
      </c>
      <c r="V242">
        <v>97.45</v>
      </c>
      <c r="W242">
        <v>93.42</v>
      </c>
      <c r="X242">
        <v>95.6</v>
      </c>
      <c r="Y242">
        <v>96.48</v>
      </c>
      <c r="Z242">
        <v>97.01</v>
      </c>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98.24</v>
      </c>
      <c r="D243">
        <v>96.86</v>
      </c>
      <c r="E243">
        <v>96.4</v>
      </c>
      <c r="F243">
        <v>96.455733505616195</v>
      </c>
      <c r="G243">
        <v>96.310094596345735</v>
      </c>
      <c r="H243">
        <v>95.834266973579602</v>
      </c>
      <c r="I243">
        <v>95.761221131475921</v>
      </c>
      <c r="J243">
        <v>95.19</v>
      </c>
      <c r="K243">
        <v>93.23</v>
      </c>
      <c r="L243">
        <v>94.43</v>
      </c>
      <c r="M243">
        <v>94.44</v>
      </c>
      <c r="N243">
        <v>95.09</v>
      </c>
      <c r="O243">
        <v>98.96</v>
      </c>
      <c r="P243">
        <v>98.85</v>
      </c>
      <c r="Q243">
        <v>98.37</v>
      </c>
      <c r="R243">
        <v>98.702583197579713</v>
      </c>
      <c r="S243">
        <v>98.640576725025738</v>
      </c>
      <c r="T243">
        <v>99.5095998149433</v>
      </c>
      <c r="U243">
        <v>99.333172652044667</v>
      </c>
      <c r="V243">
        <v>99.49</v>
      </c>
      <c r="W243">
        <v>97.89</v>
      </c>
      <c r="X243">
        <v>98.17</v>
      </c>
      <c r="Y243">
        <v>99.2</v>
      </c>
      <c r="Z243">
        <v>98.91</v>
      </c>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96.54</v>
      </c>
      <c r="D244">
        <v>93.85</v>
      </c>
      <c r="E244">
        <v>95.5</v>
      </c>
      <c r="F244">
        <v>94.632330127210679</v>
      </c>
      <c r="G244">
        <v>95.548106006835638</v>
      </c>
      <c r="H244">
        <v>95.697931859437702</v>
      </c>
      <c r="I244">
        <v>95.516503546380321</v>
      </c>
      <c r="J244">
        <v>95.24</v>
      </c>
      <c r="K244">
        <v>95.16</v>
      </c>
      <c r="L244">
        <v>95.09</v>
      </c>
      <c r="M244">
        <v>95.81</v>
      </c>
      <c r="N244">
        <v>94.96</v>
      </c>
      <c r="O244">
        <v>94.25</v>
      </c>
      <c r="P244">
        <v>95.04</v>
      </c>
      <c r="Q244">
        <v>97</v>
      </c>
      <c r="R244">
        <v>98.317725375155135</v>
      </c>
      <c r="S244">
        <v>97.969132540256041</v>
      </c>
      <c r="T244">
        <v>97.806363813103403</v>
      </c>
      <c r="U244">
        <v>98.114904105531522</v>
      </c>
      <c r="V244">
        <v>97.7</v>
      </c>
      <c r="W244">
        <v>94.06</v>
      </c>
      <c r="X244">
        <v>96.67</v>
      </c>
      <c r="Y244">
        <v>97.33</v>
      </c>
      <c r="Z244">
        <v>96.58</v>
      </c>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98.47</v>
      </c>
      <c r="D245">
        <v>98.41</v>
      </c>
      <c r="E245">
        <v>98.62</v>
      </c>
      <c r="F245">
        <v>98.666683629979261</v>
      </c>
      <c r="G245">
        <v>98.586805389078009</v>
      </c>
      <c r="H245">
        <v>98.625217440098695</v>
      </c>
      <c r="I245">
        <v>98.46521074561862</v>
      </c>
      <c r="J245">
        <v>98.39</v>
      </c>
      <c r="K245">
        <v>97.46</v>
      </c>
      <c r="L245">
        <v>97.55</v>
      </c>
      <c r="M245">
        <v>97.81</v>
      </c>
      <c r="N245">
        <v>97.91</v>
      </c>
      <c r="O245">
        <v>98.41</v>
      </c>
      <c r="P245">
        <v>98.91</v>
      </c>
      <c r="Q245">
        <v>98</v>
      </c>
      <c r="R245">
        <v>97.901652471427539</v>
      </c>
      <c r="S245">
        <v>98.178496588039337</v>
      </c>
      <c r="T245">
        <v>98.138636943139105</v>
      </c>
      <c r="U245">
        <v>98.271173271173268</v>
      </c>
      <c r="V245">
        <v>96.99</v>
      </c>
      <c r="W245">
        <v>91.57</v>
      </c>
      <c r="X245">
        <v>94.46</v>
      </c>
      <c r="Y245">
        <v>94.34</v>
      </c>
      <c r="Z245">
        <v>96.44</v>
      </c>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99.12</v>
      </c>
      <c r="D246">
        <v>99.04</v>
      </c>
      <c r="E246">
        <v>99.04</v>
      </c>
      <c r="F246">
        <v>99.154626032054395</v>
      </c>
      <c r="G246">
        <v>99.055744342419203</v>
      </c>
      <c r="H246">
        <v>98.9963050791374</v>
      </c>
      <c r="I246">
        <v>98.89237009399254</v>
      </c>
      <c r="J246">
        <v>98.73</v>
      </c>
      <c r="K246">
        <v>96.65</v>
      </c>
      <c r="L246">
        <v>98.54</v>
      </c>
      <c r="M246">
        <v>97.47</v>
      </c>
      <c r="N246">
        <v>97.66</v>
      </c>
      <c r="O246">
        <v>98.01</v>
      </c>
      <c r="P246">
        <v>99.18</v>
      </c>
      <c r="Q246">
        <v>97.93</v>
      </c>
      <c r="R246">
        <v>98.838118645961345</v>
      </c>
      <c r="S246">
        <v>98.876324585733585</v>
      </c>
      <c r="T246">
        <v>98.301387498211895</v>
      </c>
      <c r="U246">
        <v>98.970935892087326</v>
      </c>
      <c r="V246">
        <v>98.9</v>
      </c>
      <c r="W246">
        <v>93.2</v>
      </c>
      <c r="X246">
        <v>96.87</v>
      </c>
      <c r="Y246">
        <v>96.12</v>
      </c>
      <c r="Z246">
        <v>96.42</v>
      </c>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97.16</v>
      </c>
      <c r="D247">
        <v>96.54</v>
      </c>
      <c r="E247">
        <v>96.56</v>
      </c>
      <c r="F247">
        <v>95.727362964596878</v>
      </c>
      <c r="G247">
        <v>95.768083908501367</v>
      </c>
      <c r="H247">
        <v>95.941010132746797</v>
      </c>
      <c r="I247">
        <v>95.85780326633396</v>
      </c>
      <c r="J247">
        <v>94.89</v>
      </c>
      <c r="K247">
        <v>91.83</v>
      </c>
      <c r="L247">
        <v>92.25</v>
      </c>
      <c r="M247">
        <v>92.44</v>
      </c>
      <c r="N247">
        <v>92.74</v>
      </c>
      <c r="O247">
        <v>97.51</v>
      </c>
      <c r="P247">
        <v>96.97</v>
      </c>
      <c r="Q247">
        <v>97.24</v>
      </c>
      <c r="R247">
        <v>97.15936550213182</v>
      </c>
      <c r="S247">
        <v>97.461043008518601</v>
      </c>
      <c r="T247">
        <v>97.928236471889903</v>
      </c>
      <c r="U247">
        <v>97.883487226678099</v>
      </c>
      <c r="V247">
        <v>97.65</v>
      </c>
      <c r="W247">
        <v>91.92</v>
      </c>
      <c r="X247">
        <v>96.06</v>
      </c>
      <c r="Y247">
        <v>96.6</v>
      </c>
      <c r="Z247">
        <v>97.75</v>
      </c>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99.4</v>
      </c>
      <c r="D248">
        <v>98.72</v>
      </c>
      <c r="E248">
        <v>99.12</v>
      </c>
      <c r="F248">
        <v>98.664451717955899</v>
      </c>
      <c r="G248">
        <v>99.486402947328983</v>
      </c>
      <c r="H248">
        <v>99.224760238945706</v>
      </c>
      <c r="I248">
        <v>99.245051745991958</v>
      </c>
      <c r="J248">
        <v>99.15</v>
      </c>
      <c r="K248">
        <v>98.7</v>
      </c>
      <c r="L248">
        <v>98.35</v>
      </c>
      <c r="M248">
        <v>98.6</v>
      </c>
      <c r="N248">
        <v>99.35</v>
      </c>
      <c r="O248">
        <v>98.45</v>
      </c>
      <c r="P248">
        <v>99.04</v>
      </c>
      <c r="Q248">
        <v>99.29</v>
      </c>
      <c r="R248">
        <v>99.740424709358521</v>
      </c>
      <c r="S248">
        <v>98.809835893671689</v>
      </c>
      <c r="T248">
        <v>99.483585392843906</v>
      </c>
      <c r="U248">
        <v>99.578102490224325</v>
      </c>
      <c r="V248">
        <v>99.55</v>
      </c>
      <c r="W248">
        <v>99.81</v>
      </c>
      <c r="X248">
        <v>99.69</v>
      </c>
      <c r="Y248">
        <v>99.87</v>
      </c>
      <c r="Z248">
        <v>99.99</v>
      </c>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98.85</v>
      </c>
      <c r="D249">
        <v>98.58</v>
      </c>
      <c r="E249">
        <v>98.54</v>
      </c>
      <c r="F249">
        <v>98.590973270363705</v>
      </c>
      <c r="G249">
        <v>98.637296818789665</v>
      </c>
      <c r="H249">
        <v>98.382501362057099</v>
      </c>
      <c r="I249">
        <v>98.318376104763033</v>
      </c>
      <c r="J249">
        <v>98.63</v>
      </c>
      <c r="K249">
        <v>98.12</v>
      </c>
      <c r="L249">
        <v>98.1</v>
      </c>
      <c r="M249">
        <v>98.63</v>
      </c>
      <c r="N249">
        <v>98.29</v>
      </c>
      <c r="O249">
        <v>98.02</v>
      </c>
      <c r="P249">
        <v>97.51</v>
      </c>
      <c r="Q249">
        <v>97.06</v>
      </c>
      <c r="R249">
        <v>98.344967781528084</v>
      </c>
      <c r="S249">
        <v>98.938806393644185</v>
      </c>
      <c r="T249">
        <v>99.1883116883116</v>
      </c>
      <c r="U249">
        <v>98.654948823750061</v>
      </c>
      <c r="V249">
        <v>99.57</v>
      </c>
      <c r="W249">
        <v>94.33</v>
      </c>
      <c r="X249">
        <v>97.55</v>
      </c>
      <c r="Y249">
        <v>99.9</v>
      </c>
      <c r="Z249">
        <v>99.3</v>
      </c>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97.73</v>
      </c>
      <c r="D250">
        <v>97.36</v>
      </c>
      <c r="E250">
        <v>97.26</v>
      </c>
      <c r="F250">
        <v>97.502234205304532</v>
      </c>
      <c r="G250">
        <v>97.507658234219718</v>
      </c>
      <c r="H250">
        <v>97.196337193643899</v>
      </c>
      <c r="I250">
        <v>96.985406339476043</v>
      </c>
      <c r="J250">
        <v>96.4</v>
      </c>
      <c r="K250">
        <v>95.47</v>
      </c>
      <c r="L250">
        <v>95.78</v>
      </c>
      <c r="M250">
        <v>95.28</v>
      </c>
      <c r="N250">
        <v>95.41</v>
      </c>
      <c r="O250">
        <v>96.56</v>
      </c>
      <c r="P250">
        <v>97.26</v>
      </c>
      <c r="Q250">
        <v>97.31</v>
      </c>
      <c r="R250">
        <v>98.806833000086939</v>
      </c>
      <c r="S250">
        <v>98.140723352099215</v>
      </c>
      <c r="T250">
        <v>98.171090206618501</v>
      </c>
      <c r="U250">
        <v>97.624866953128077</v>
      </c>
      <c r="V250">
        <v>98.37</v>
      </c>
      <c r="W250">
        <v>93.39</v>
      </c>
      <c r="X250">
        <v>93.07</v>
      </c>
      <c r="Y250">
        <v>98.32</v>
      </c>
      <c r="Z250">
        <v>97.89</v>
      </c>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97.94</v>
      </c>
      <c r="D251">
        <v>97.4</v>
      </c>
      <c r="E251">
        <v>97.72</v>
      </c>
      <c r="F251">
        <v>97.814745344034122</v>
      </c>
      <c r="G251">
        <v>97.932085958834719</v>
      </c>
      <c r="H251">
        <v>97.376365850729798</v>
      </c>
      <c r="I251">
        <v>96.45287737777457</v>
      </c>
      <c r="J251">
        <v>96</v>
      </c>
      <c r="K251">
        <v>95.35</v>
      </c>
      <c r="L251">
        <v>95.21</v>
      </c>
      <c r="M251">
        <v>95.9</v>
      </c>
      <c r="N251">
        <v>95.87</v>
      </c>
      <c r="O251">
        <v>98.45</v>
      </c>
      <c r="P251">
        <v>98.69</v>
      </c>
      <c r="Q251">
        <v>98.5</v>
      </c>
      <c r="R251">
        <v>98.79846302655983</v>
      </c>
      <c r="S251">
        <v>98.218816160131567</v>
      </c>
      <c r="T251">
        <v>98.729181047452101</v>
      </c>
      <c r="U251">
        <v>98.681363327239168</v>
      </c>
      <c r="V251">
        <v>98.56</v>
      </c>
      <c r="W251">
        <v>94.92</v>
      </c>
      <c r="X251">
        <v>96.43</v>
      </c>
      <c r="Y251">
        <v>98.59</v>
      </c>
      <c r="Z251">
        <v>97.42</v>
      </c>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95.11</v>
      </c>
      <c r="D252">
        <v>94.21</v>
      </c>
      <c r="E252">
        <v>94.04</v>
      </c>
      <c r="F252">
        <v>94.167372057376866</v>
      </c>
      <c r="G252">
        <v>93.698055702659772</v>
      </c>
      <c r="H252">
        <v>93.421617313469397</v>
      </c>
      <c r="I252">
        <v>93.405657760047461</v>
      </c>
      <c r="J252">
        <v>93.52</v>
      </c>
      <c r="K252">
        <v>93.95</v>
      </c>
      <c r="L252">
        <v>94.03</v>
      </c>
      <c r="M252">
        <v>93.66</v>
      </c>
      <c r="N252">
        <v>93.11</v>
      </c>
      <c r="O252">
        <v>95.58</v>
      </c>
      <c r="P252">
        <v>95.72</v>
      </c>
      <c r="Q252">
        <v>96.18</v>
      </c>
      <c r="R252">
        <v>96.103681962834102</v>
      </c>
      <c r="S252">
        <v>96.42159734426869</v>
      </c>
      <c r="T252">
        <v>96.684495645614703</v>
      </c>
      <c r="U252">
        <v>96.832952416957369</v>
      </c>
      <c r="V252">
        <v>97.01</v>
      </c>
      <c r="W252">
        <v>94.79</v>
      </c>
      <c r="X252">
        <v>96.44</v>
      </c>
      <c r="Y252">
        <v>95.29</v>
      </c>
      <c r="Z252">
        <v>95.87</v>
      </c>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98.02</v>
      </c>
      <c r="D253">
        <v>97.58</v>
      </c>
      <c r="E253">
        <v>97.66</v>
      </c>
      <c r="F253">
        <v>97.89895594272231</v>
      </c>
      <c r="G253">
        <v>97.976851708194985</v>
      </c>
      <c r="H253">
        <v>98.102517189482597</v>
      </c>
      <c r="I253">
        <v>97.938059187887134</v>
      </c>
      <c r="J253">
        <v>97.89</v>
      </c>
      <c r="K253">
        <v>97.4</v>
      </c>
      <c r="L253">
        <v>97.55</v>
      </c>
      <c r="M253">
        <v>97.38</v>
      </c>
      <c r="N253">
        <v>97.54</v>
      </c>
      <c r="O253">
        <v>97.97</v>
      </c>
      <c r="P253">
        <v>98.51</v>
      </c>
      <c r="Q253">
        <v>98.65</v>
      </c>
      <c r="R253">
        <v>98.883417315620704</v>
      </c>
      <c r="S253">
        <v>98.974821156987545</v>
      </c>
      <c r="T253">
        <v>99.1753867151956</v>
      </c>
      <c r="U253">
        <v>99.059998326406514</v>
      </c>
      <c r="V253">
        <v>98.92</v>
      </c>
      <c r="W253">
        <v>97.68</v>
      </c>
      <c r="X253">
        <v>97.56</v>
      </c>
      <c r="Y253">
        <v>98.42</v>
      </c>
      <c r="Z253">
        <v>98.79</v>
      </c>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98.49</v>
      </c>
      <c r="D254">
        <v>98.37</v>
      </c>
      <c r="E254">
        <v>98.5</v>
      </c>
      <c r="F254">
        <v>98.594136003120525</v>
      </c>
      <c r="G254">
        <v>98.365080349941053</v>
      </c>
      <c r="H254">
        <v>98.487120677487596</v>
      </c>
      <c r="I254">
        <v>98.459687789499881</v>
      </c>
      <c r="J254">
        <v>98.2</v>
      </c>
      <c r="K254">
        <v>97.31</v>
      </c>
      <c r="L254">
        <v>97.36</v>
      </c>
      <c r="M254">
        <v>96.26</v>
      </c>
      <c r="N254">
        <v>97.21</v>
      </c>
      <c r="O254">
        <v>98.16</v>
      </c>
      <c r="P254">
        <v>98.18</v>
      </c>
      <c r="Q254">
        <v>98.53</v>
      </c>
      <c r="R254">
        <v>98.663576289574905</v>
      </c>
      <c r="S254">
        <v>98.249075215782995</v>
      </c>
      <c r="T254">
        <v>98.996364381176704</v>
      </c>
      <c r="U254">
        <v>97.582095202044101</v>
      </c>
      <c r="V254">
        <v>98.81</v>
      </c>
      <c r="W254">
        <v>95.62</v>
      </c>
      <c r="X254">
        <v>95.2</v>
      </c>
      <c r="Y254">
        <v>97.04</v>
      </c>
      <c r="Z254">
        <v>99.11</v>
      </c>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97.9</v>
      </c>
      <c r="D255">
        <v>98.44</v>
      </c>
      <c r="E255">
        <v>98.37</v>
      </c>
      <c r="F255">
        <v>98.430540827147411</v>
      </c>
      <c r="G255">
        <v>98.537479443112346</v>
      </c>
      <c r="H255">
        <v>98.590901044432599</v>
      </c>
      <c r="I255">
        <v>98.549310145956255</v>
      </c>
      <c r="J255">
        <v>98.34</v>
      </c>
      <c r="K255">
        <v>98.13</v>
      </c>
      <c r="L255">
        <v>97.92</v>
      </c>
      <c r="M255">
        <v>97.81</v>
      </c>
      <c r="N255">
        <v>97.69</v>
      </c>
      <c r="O255">
        <v>98.55</v>
      </c>
      <c r="P255">
        <v>99.11</v>
      </c>
      <c r="Q255">
        <v>99.16</v>
      </c>
      <c r="R255">
        <v>98.61299052774018</v>
      </c>
      <c r="S255">
        <v>99.40420099097183</v>
      </c>
      <c r="T255">
        <v>99.412609319932102</v>
      </c>
      <c r="U255">
        <v>99.208835211676956</v>
      </c>
      <c r="V255">
        <v>99.11</v>
      </c>
      <c r="W255">
        <v>96.77</v>
      </c>
      <c r="X255">
        <v>98.99</v>
      </c>
      <c r="Y255">
        <v>99.04</v>
      </c>
      <c r="Z255">
        <v>99.32</v>
      </c>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97.15</v>
      </c>
      <c r="D256">
        <v>96.6</v>
      </c>
      <c r="E256">
        <v>96.67</v>
      </c>
      <c r="F256">
        <v>97.085059161141658</v>
      </c>
      <c r="G256">
        <v>97.44454774870502</v>
      </c>
      <c r="H256">
        <v>97.343763755958193</v>
      </c>
      <c r="I256">
        <v>97.296137339055804</v>
      </c>
      <c r="J256">
        <v>97.03</v>
      </c>
      <c r="K256">
        <v>97.09</v>
      </c>
      <c r="L256">
        <v>97.26</v>
      </c>
      <c r="M256">
        <v>97.31</v>
      </c>
      <c r="N256">
        <v>97.31</v>
      </c>
      <c r="O256">
        <v>97.35</v>
      </c>
      <c r="P256">
        <v>97.3</v>
      </c>
      <c r="Q256">
        <v>97.5</v>
      </c>
      <c r="R256">
        <v>98.278673188463898</v>
      </c>
      <c r="S256">
        <v>98.491926675527367</v>
      </c>
      <c r="T256">
        <v>98.5977107124166</v>
      </c>
      <c r="U256">
        <v>99.051581797767653</v>
      </c>
      <c r="V256">
        <v>97.58</v>
      </c>
      <c r="W256">
        <v>96.34</v>
      </c>
      <c r="X256">
        <v>98.41</v>
      </c>
      <c r="Y256">
        <v>98.17</v>
      </c>
      <c r="Z256">
        <v>97.37</v>
      </c>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97.96</v>
      </c>
      <c r="D257">
        <v>96.82</v>
      </c>
      <c r="E257">
        <v>96.71</v>
      </c>
      <c r="F257">
        <v>96.946420792798023</v>
      </c>
      <c r="G257">
        <v>97.110025933896154</v>
      </c>
      <c r="H257">
        <v>97.001103404791905</v>
      </c>
      <c r="I257">
        <v>96.961376983784987</v>
      </c>
      <c r="J257">
        <v>96.09</v>
      </c>
      <c r="K257">
        <v>92.66</v>
      </c>
      <c r="L257">
        <v>92.81</v>
      </c>
      <c r="M257">
        <v>93.9</v>
      </c>
      <c r="N257">
        <v>93.87</v>
      </c>
      <c r="O257">
        <v>98.97</v>
      </c>
      <c r="P257">
        <v>98.68</v>
      </c>
      <c r="Q257">
        <v>98.89</v>
      </c>
      <c r="R257">
        <v>98.223941123460506</v>
      </c>
      <c r="S257">
        <v>98.672728605998387</v>
      </c>
      <c r="T257">
        <v>98.694036714122703</v>
      </c>
      <c r="U257">
        <v>97.920068147937812</v>
      </c>
      <c r="V257">
        <v>98.19</v>
      </c>
      <c r="W257">
        <v>88.47</v>
      </c>
      <c r="X257">
        <v>91.05</v>
      </c>
      <c r="Y257">
        <v>96.5</v>
      </c>
      <c r="Z257">
        <v>96.88</v>
      </c>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98.38</v>
      </c>
      <c r="D258">
        <v>98.28</v>
      </c>
      <c r="E258">
        <v>98.34</v>
      </c>
      <c r="F258">
        <v>98.383628905594776</v>
      </c>
      <c r="G258">
        <v>98.358531317494595</v>
      </c>
      <c r="H258">
        <v>98.374082633905005</v>
      </c>
      <c r="I258">
        <v>98.269900544428097</v>
      </c>
      <c r="J258">
        <v>98.11</v>
      </c>
      <c r="K258">
        <v>97.68</v>
      </c>
      <c r="L258">
        <v>97.92</v>
      </c>
      <c r="M258">
        <v>97.91</v>
      </c>
      <c r="N258">
        <v>97.92</v>
      </c>
      <c r="O258">
        <v>97.18</v>
      </c>
      <c r="P258">
        <v>98.7</v>
      </c>
      <c r="Q258">
        <v>98.02</v>
      </c>
      <c r="R258">
        <v>98.496555855046424</v>
      </c>
      <c r="S258">
        <v>97.996550351598771</v>
      </c>
      <c r="T258">
        <v>99.025011368804002</v>
      </c>
      <c r="U258">
        <v>98.68078550811893</v>
      </c>
      <c r="V258">
        <v>98.31</v>
      </c>
      <c r="W258">
        <v>96.44</v>
      </c>
      <c r="X258">
        <v>97.05</v>
      </c>
      <c r="Y258">
        <v>98.98</v>
      </c>
      <c r="Z258">
        <v>99.49</v>
      </c>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98.13</v>
      </c>
      <c r="D259">
        <v>97.88</v>
      </c>
      <c r="E259">
        <v>98.04</v>
      </c>
      <c r="F259">
        <v>98.14109301103521</v>
      </c>
      <c r="G259">
        <v>98.253725797795482</v>
      </c>
      <c r="H259">
        <v>97.972015758116697</v>
      </c>
      <c r="I259">
        <v>98.070169086498424</v>
      </c>
      <c r="J259">
        <v>98.11</v>
      </c>
      <c r="K259">
        <v>97.64</v>
      </c>
      <c r="L259">
        <v>98.04</v>
      </c>
      <c r="M259">
        <v>98.69</v>
      </c>
      <c r="N259">
        <v>97.94</v>
      </c>
      <c r="O259">
        <v>99.66</v>
      </c>
      <c r="P259">
        <v>98.85</v>
      </c>
      <c r="Q259">
        <v>98.62</v>
      </c>
      <c r="R259">
        <v>99.236990255193888</v>
      </c>
      <c r="S259">
        <v>98.785292186474067</v>
      </c>
      <c r="T259">
        <v>98.555308370634407</v>
      </c>
      <c r="U259">
        <v>99.296696527118257</v>
      </c>
      <c r="V259">
        <v>99.23</v>
      </c>
      <c r="W259">
        <v>95.96</v>
      </c>
      <c r="X259">
        <v>99.38</v>
      </c>
      <c r="Y259">
        <v>98.93</v>
      </c>
      <c r="Z259">
        <v>97.59</v>
      </c>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96.32</v>
      </c>
      <c r="D260">
        <v>95.92</v>
      </c>
      <c r="E260">
        <v>96.15</v>
      </c>
      <c r="F260">
        <v>96.484890368788086</v>
      </c>
      <c r="G260">
        <v>96.49597289505752</v>
      </c>
      <c r="H260">
        <v>96.302366929658803</v>
      </c>
      <c r="I260">
        <v>96.095794970633818</v>
      </c>
      <c r="J260">
        <v>95.71</v>
      </c>
      <c r="K260">
        <v>94.94</v>
      </c>
      <c r="L260">
        <v>95.18</v>
      </c>
      <c r="M260">
        <v>95.48</v>
      </c>
      <c r="N260">
        <v>94.73</v>
      </c>
      <c r="O260">
        <v>98.04</v>
      </c>
      <c r="P260">
        <v>98.75</v>
      </c>
      <c r="Q260">
        <v>98.53</v>
      </c>
      <c r="R260">
        <v>99.53015572825862</v>
      </c>
      <c r="S260">
        <v>99.075247752938466</v>
      </c>
      <c r="T260">
        <v>99.124384563224098</v>
      </c>
      <c r="U260">
        <v>98.77917935334203</v>
      </c>
      <c r="V260">
        <v>98.32</v>
      </c>
      <c r="W260">
        <v>92.2</v>
      </c>
      <c r="X260">
        <v>96.66</v>
      </c>
      <c r="Y260">
        <v>98.35</v>
      </c>
      <c r="Z260">
        <v>96.92</v>
      </c>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97.56</v>
      </c>
      <c r="D261">
        <v>97.51</v>
      </c>
      <c r="E261">
        <v>97.86</v>
      </c>
      <c r="F261">
        <v>98.009835014075477</v>
      </c>
      <c r="G261">
        <v>98.473125992724292</v>
      </c>
      <c r="H261">
        <v>98.640978236190804</v>
      </c>
      <c r="I261">
        <v>98.719196836020686</v>
      </c>
      <c r="J261">
        <v>98.37</v>
      </c>
      <c r="K261">
        <v>97.74</v>
      </c>
      <c r="L261">
        <v>97.72</v>
      </c>
      <c r="M261">
        <v>97.34</v>
      </c>
      <c r="N261">
        <v>98.57</v>
      </c>
      <c r="O261">
        <v>98.65</v>
      </c>
      <c r="P261">
        <v>96.97</v>
      </c>
      <c r="Q261">
        <v>98.01</v>
      </c>
      <c r="R261">
        <v>99.308859792310628</v>
      </c>
      <c r="S261">
        <v>99.06047147249744</v>
      </c>
      <c r="T261">
        <v>98.794180295317503</v>
      </c>
      <c r="U261">
        <v>99.381260041705119</v>
      </c>
      <c r="V261">
        <v>98.93</v>
      </c>
      <c r="W261">
        <v>93.2</v>
      </c>
      <c r="X261">
        <v>99.09</v>
      </c>
      <c r="Y261">
        <v>99.28</v>
      </c>
      <c r="Z261">
        <v>99.62</v>
      </c>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98.89</v>
      </c>
      <c r="D262">
        <v>98.54</v>
      </c>
      <c r="E262">
        <v>98.72</v>
      </c>
      <c r="F262">
        <v>98.618805727352253</v>
      </c>
      <c r="G262">
        <v>98.861001623000234</v>
      </c>
      <c r="H262">
        <v>98.412028847462196</v>
      </c>
      <c r="I262">
        <v>98.910839316915144</v>
      </c>
      <c r="J262">
        <v>98.74</v>
      </c>
      <c r="K262">
        <v>97.96</v>
      </c>
      <c r="L262">
        <v>98.17</v>
      </c>
      <c r="M262">
        <v>98.43</v>
      </c>
      <c r="N262">
        <v>98.24</v>
      </c>
      <c r="O262">
        <v>98.19</v>
      </c>
      <c r="P262">
        <v>96.95</v>
      </c>
      <c r="Q262">
        <v>99.63</v>
      </c>
      <c r="R262">
        <v>99.724324955326267</v>
      </c>
      <c r="S262">
        <v>99.73826128199272</v>
      </c>
      <c r="T262">
        <v>99.672348256823895</v>
      </c>
      <c r="U262">
        <v>98.933692556135327</v>
      </c>
      <c r="V262">
        <v>98.22</v>
      </c>
      <c r="W262">
        <v>96.82</v>
      </c>
      <c r="X262">
        <v>98.36</v>
      </c>
      <c r="Y262">
        <v>97.97</v>
      </c>
      <c r="Z262">
        <v>97.66</v>
      </c>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98.46</v>
      </c>
      <c r="D263">
        <v>98.29</v>
      </c>
      <c r="E263">
        <v>98.31</v>
      </c>
      <c r="F263">
        <v>98.873646603212691</v>
      </c>
      <c r="G263">
        <v>99.031598441297888</v>
      </c>
      <c r="H263">
        <v>98.608150014536207</v>
      </c>
      <c r="I263">
        <v>98.911315956770508</v>
      </c>
      <c r="J263">
        <v>98.48</v>
      </c>
      <c r="K263">
        <v>97.88</v>
      </c>
      <c r="L263">
        <v>98.13</v>
      </c>
      <c r="M263">
        <v>98.43</v>
      </c>
      <c r="N263">
        <v>98.03</v>
      </c>
      <c r="O263">
        <v>99.71</v>
      </c>
      <c r="P263">
        <v>99.53</v>
      </c>
      <c r="Q263">
        <v>99.74</v>
      </c>
      <c r="R263">
        <v>99.43179761861677</v>
      </c>
      <c r="S263">
        <v>99.194895674119365</v>
      </c>
      <c r="T263">
        <v>99.688314432626598</v>
      </c>
      <c r="U263">
        <v>99.419722565581651</v>
      </c>
      <c r="V263">
        <v>99.43</v>
      </c>
      <c r="W263">
        <v>97.28</v>
      </c>
      <c r="X263">
        <v>98.89</v>
      </c>
      <c r="Y263">
        <v>99.37</v>
      </c>
      <c r="Z263">
        <v>99.38</v>
      </c>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96.08</v>
      </c>
      <c r="D264">
        <v>94.88</v>
      </c>
      <c r="E264">
        <v>95.49</v>
      </c>
      <c r="F264">
        <v>95.673119814434827</v>
      </c>
      <c r="G264">
        <v>95.498355982670788</v>
      </c>
      <c r="H264">
        <v>95.625173054863296</v>
      </c>
      <c r="I264">
        <v>96.339695875402271</v>
      </c>
      <c r="J264">
        <v>95.65</v>
      </c>
      <c r="K264">
        <v>95.09</v>
      </c>
      <c r="L264">
        <v>95.25</v>
      </c>
      <c r="M264">
        <v>95.36</v>
      </c>
      <c r="N264">
        <v>96.13</v>
      </c>
      <c r="O264">
        <v>96.86</v>
      </c>
      <c r="P264">
        <v>97.21</v>
      </c>
      <c r="Q264">
        <v>95.54</v>
      </c>
      <c r="R264">
        <v>95.683109435565228</v>
      </c>
      <c r="S264">
        <v>96.605250200834433</v>
      </c>
      <c r="T264">
        <v>96.363482718796604</v>
      </c>
      <c r="U264">
        <v>96.633197186294524</v>
      </c>
      <c r="V264">
        <v>95.1</v>
      </c>
      <c r="W264">
        <v>88</v>
      </c>
      <c r="X264">
        <v>90.47</v>
      </c>
      <c r="Y264">
        <v>95.01</v>
      </c>
      <c r="Z264">
        <v>94.76</v>
      </c>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98.3</v>
      </c>
      <c r="D265">
        <v>98.13</v>
      </c>
      <c r="E265">
        <v>98.25</v>
      </c>
      <c r="F265">
        <v>98.380710521285593</v>
      </c>
      <c r="G265">
        <v>98.204816472231556</v>
      </c>
      <c r="H265">
        <v>98.030014176076605</v>
      </c>
      <c r="I265">
        <v>98.016605166051662</v>
      </c>
      <c r="J265">
        <v>97.8</v>
      </c>
      <c r="K265">
        <v>97.33</v>
      </c>
      <c r="L265">
        <v>97.55</v>
      </c>
      <c r="M265">
        <v>97.39</v>
      </c>
      <c r="N265">
        <v>97.06</v>
      </c>
      <c r="O265">
        <v>99.05</v>
      </c>
      <c r="P265">
        <v>98.12</v>
      </c>
      <c r="Q265">
        <v>98.38</v>
      </c>
      <c r="R265">
        <v>98.418972332015812</v>
      </c>
      <c r="S265">
        <v>98.020142894034606</v>
      </c>
      <c r="T265">
        <v>98.486323802779395</v>
      </c>
      <c r="U265">
        <v>98.53231482276199</v>
      </c>
      <c r="V265">
        <v>98.41</v>
      </c>
      <c r="W265">
        <v>95.91</v>
      </c>
      <c r="X265">
        <v>98.44</v>
      </c>
      <c r="Y265">
        <v>98.66</v>
      </c>
      <c r="Z265">
        <v>98.16</v>
      </c>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95.06</v>
      </c>
      <c r="D266">
        <v>95.41</v>
      </c>
      <c r="E266">
        <v>96.67</v>
      </c>
      <c r="F266">
        <v>96.304479636614019</v>
      </c>
      <c r="G266">
        <v>95.95512280970236</v>
      </c>
      <c r="H266">
        <v>96.265159867695701</v>
      </c>
      <c r="I266">
        <v>96.491844826881419</v>
      </c>
      <c r="J266">
        <v>95.95</v>
      </c>
      <c r="K266">
        <v>90.36</v>
      </c>
      <c r="L266">
        <v>91.24</v>
      </c>
      <c r="M266">
        <v>95.16</v>
      </c>
      <c r="N266">
        <v>92.1</v>
      </c>
      <c r="O266">
        <v>99.68</v>
      </c>
      <c r="P266">
        <v>99.66</v>
      </c>
      <c r="Q266">
        <v>99.89</v>
      </c>
      <c r="R266">
        <v>99.598654061509706</v>
      </c>
      <c r="S266">
        <v>98.507796387058519</v>
      </c>
      <c r="T266">
        <v>99.370085970409605</v>
      </c>
      <c r="U266">
        <v>99.218684532026657</v>
      </c>
      <c r="V266">
        <v>99.53</v>
      </c>
      <c r="W266">
        <v>95.83</v>
      </c>
      <c r="X266">
        <v>92.64</v>
      </c>
      <c r="Y266">
        <v>95.27</v>
      </c>
      <c r="Z266">
        <v>96.56</v>
      </c>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98.05</v>
      </c>
      <c r="D267">
        <v>97.7</v>
      </c>
      <c r="E267">
        <v>97.84</v>
      </c>
      <c r="F267">
        <v>98.011317208694223</v>
      </c>
      <c r="G267">
        <v>98.196656444752207</v>
      </c>
      <c r="H267">
        <v>98.082470569564094</v>
      </c>
      <c r="I267">
        <v>98.064245370451331</v>
      </c>
      <c r="J267">
        <v>97.76</v>
      </c>
      <c r="K267">
        <v>97.18</v>
      </c>
      <c r="L267">
        <v>97.52</v>
      </c>
      <c r="M267">
        <v>97.38</v>
      </c>
      <c r="N267">
        <v>97.37</v>
      </c>
      <c r="O267">
        <v>97.85</v>
      </c>
      <c r="P267">
        <v>97.56</v>
      </c>
      <c r="Q267">
        <v>97.41</v>
      </c>
      <c r="R267">
        <v>97.405341246290803</v>
      </c>
      <c r="S267">
        <v>97.78580826041744</v>
      </c>
      <c r="T267">
        <v>97.869700836523407</v>
      </c>
      <c r="U267">
        <v>98.656214332912839</v>
      </c>
      <c r="V267">
        <v>98</v>
      </c>
      <c r="W267">
        <v>95.22</v>
      </c>
      <c r="X267">
        <v>97.01</v>
      </c>
      <c r="Y267">
        <v>98.31</v>
      </c>
      <c r="Z267">
        <v>98.11</v>
      </c>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98.37</v>
      </c>
      <c r="D268">
        <v>98.53</v>
      </c>
      <c r="E268">
        <v>98.47</v>
      </c>
      <c r="F268">
        <v>98.405698264757149</v>
      </c>
      <c r="G268">
        <v>98.409107284386494</v>
      </c>
      <c r="H268">
        <v>98.263709348210597</v>
      </c>
      <c r="I268">
        <v>98.306526446025373</v>
      </c>
      <c r="J268">
        <v>98.09</v>
      </c>
      <c r="K268">
        <v>97.52</v>
      </c>
      <c r="L268">
        <v>97.6</v>
      </c>
      <c r="M268">
        <v>97.46</v>
      </c>
      <c r="N268">
        <v>97.53</v>
      </c>
      <c r="O268">
        <v>97.83</v>
      </c>
      <c r="P268">
        <v>98.37</v>
      </c>
      <c r="Q268">
        <v>98.37</v>
      </c>
      <c r="R268">
        <v>98.491727010092674</v>
      </c>
      <c r="S268">
        <v>97.38486842105263</v>
      </c>
      <c r="T268">
        <v>98.492525740663893</v>
      </c>
      <c r="U268">
        <v>99.156209044720924</v>
      </c>
      <c r="V268">
        <v>98.03</v>
      </c>
      <c r="W268">
        <v>96.61</v>
      </c>
      <c r="X268">
        <v>97.45</v>
      </c>
      <c r="Y268">
        <v>98.22</v>
      </c>
      <c r="Z268">
        <v>98.67</v>
      </c>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98.66</v>
      </c>
      <c r="D269">
        <v>98.82</v>
      </c>
      <c r="E269">
        <v>98.85</v>
      </c>
      <c r="F269">
        <v>99.157373944301639</v>
      </c>
      <c r="G269">
        <v>99.153855973156809</v>
      </c>
      <c r="H269">
        <v>99.148397391424993</v>
      </c>
      <c r="I269">
        <v>99.101743295328092</v>
      </c>
      <c r="J269">
        <v>98.78</v>
      </c>
      <c r="K269">
        <v>97.91</v>
      </c>
      <c r="L269">
        <v>98.68</v>
      </c>
      <c r="M269">
        <v>98.85</v>
      </c>
      <c r="N269">
        <v>98.47</v>
      </c>
      <c r="O269">
        <v>96.14</v>
      </c>
      <c r="P269">
        <v>98.81</v>
      </c>
      <c r="Q269">
        <v>99.42</v>
      </c>
      <c r="R269">
        <v>97.335352348234878</v>
      </c>
      <c r="S269">
        <v>99.197200494030469</v>
      </c>
      <c r="T269">
        <v>99.465903456979305</v>
      </c>
      <c r="U269">
        <v>98.845478489903428</v>
      </c>
      <c r="V269">
        <v>99.43</v>
      </c>
      <c r="W269">
        <v>93.01</v>
      </c>
      <c r="X269">
        <v>96.62</v>
      </c>
      <c r="Y269">
        <v>98.06</v>
      </c>
      <c r="Z269">
        <v>99.41</v>
      </c>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98.83</v>
      </c>
      <c r="D270">
        <v>98.72</v>
      </c>
      <c r="E270">
        <v>98.68</v>
      </c>
      <c r="F270">
        <v>98.711678550284432</v>
      </c>
      <c r="G270">
        <v>98.725975273222389</v>
      </c>
      <c r="H270">
        <v>98.609708208963596</v>
      </c>
      <c r="I270">
        <v>98.467473112643873</v>
      </c>
      <c r="J270">
        <v>98.27</v>
      </c>
      <c r="K270">
        <v>96.96</v>
      </c>
      <c r="L270">
        <v>97.33</v>
      </c>
      <c r="M270">
        <v>98.01</v>
      </c>
      <c r="N270">
        <v>97.95</v>
      </c>
      <c r="O270">
        <v>99.38</v>
      </c>
      <c r="P270">
        <v>99.25</v>
      </c>
      <c r="Q270">
        <v>99.3</v>
      </c>
      <c r="R270">
        <v>99.30872795600682</v>
      </c>
      <c r="S270">
        <v>99.358337403371678</v>
      </c>
      <c r="T270">
        <v>98.619352466277704</v>
      </c>
      <c r="U270">
        <v>99.010673034748294</v>
      </c>
      <c r="V270">
        <v>99.19</v>
      </c>
      <c r="W270">
        <v>93.47</v>
      </c>
      <c r="X270">
        <v>95.12</v>
      </c>
      <c r="Y270">
        <v>96.06</v>
      </c>
      <c r="Z270">
        <v>96.88</v>
      </c>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96.38</v>
      </c>
      <c r="D271">
        <v>94.4</v>
      </c>
      <c r="E271">
        <v>94.42</v>
      </c>
      <c r="F271">
        <v>94.983707962404154</v>
      </c>
      <c r="G271">
        <v>94.990423494360499</v>
      </c>
      <c r="H271">
        <v>95.2549231004718</v>
      </c>
      <c r="I271">
        <v>95.429554758990861</v>
      </c>
      <c r="J271">
        <v>95.34</v>
      </c>
      <c r="K271">
        <v>94.49</v>
      </c>
      <c r="L271">
        <v>94.55</v>
      </c>
      <c r="M271">
        <v>95.18</v>
      </c>
      <c r="N271">
        <v>94.97</v>
      </c>
      <c r="O271">
        <v>98.25</v>
      </c>
      <c r="P271">
        <v>98.45</v>
      </c>
      <c r="Q271">
        <v>98.75</v>
      </c>
      <c r="R271">
        <v>98.876163035951635</v>
      </c>
      <c r="S271">
        <v>98.886093872386567</v>
      </c>
      <c r="T271">
        <v>99.162198133602004</v>
      </c>
      <c r="U271">
        <v>98.860917154180044</v>
      </c>
      <c r="V271">
        <v>98.5</v>
      </c>
      <c r="W271">
        <v>94.16</v>
      </c>
      <c r="X271">
        <v>96.68</v>
      </c>
      <c r="Y271">
        <v>97.33</v>
      </c>
      <c r="Z271">
        <v>97.49</v>
      </c>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96.36</v>
      </c>
      <c r="D272">
        <v>95.99</v>
      </c>
      <c r="E272">
        <v>95.55</v>
      </c>
      <c r="F272">
        <v>94.420026223937654</v>
      </c>
      <c r="G272">
        <v>94.588886270608057</v>
      </c>
      <c r="H272">
        <v>94.394430051813401</v>
      </c>
      <c r="I272">
        <v>94.35212668240581</v>
      </c>
      <c r="J272">
        <v>94.01</v>
      </c>
      <c r="K272">
        <v>92.5</v>
      </c>
      <c r="L272">
        <v>92.42</v>
      </c>
      <c r="M272">
        <v>92.3</v>
      </c>
      <c r="N272">
        <v>92.28</v>
      </c>
      <c r="O272">
        <v>96.61</v>
      </c>
      <c r="P272">
        <v>96.86</v>
      </c>
      <c r="Q272">
        <v>97.09</v>
      </c>
      <c r="R272">
        <v>97.71797359429705</v>
      </c>
      <c r="S272">
        <v>97.205652360455616</v>
      </c>
      <c r="T272">
        <v>97.675756045559098</v>
      </c>
      <c r="U272">
        <v>98.20270824784572</v>
      </c>
      <c r="V272">
        <v>97.25</v>
      </c>
      <c r="W272">
        <v>87.86</v>
      </c>
      <c r="X272">
        <v>95.03</v>
      </c>
      <c r="Y272">
        <v>99.04</v>
      </c>
      <c r="Z272">
        <v>96.92</v>
      </c>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95.41</v>
      </c>
      <c r="D273">
        <v>95.31</v>
      </c>
      <c r="E273">
        <v>95.82</v>
      </c>
      <c r="F273">
        <v>96.006874435931408</v>
      </c>
      <c r="G273">
        <v>96.074560605509262</v>
      </c>
      <c r="H273">
        <v>96.091993331338401</v>
      </c>
      <c r="I273">
        <v>95.958704667784346</v>
      </c>
      <c r="J273">
        <v>95.81</v>
      </c>
      <c r="K273">
        <v>93.67</v>
      </c>
      <c r="L273">
        <v>94.91</v>
      </c>
      <c r="M273">
        <v>95.31</v>
      </c>
      <c r="N273">
        <v>95.15</v>
      </c>
      <c r="O273">
        <v>95.5</v>
      </c>
      <c r="P273">
        <v>95.57</v>
      </c>
      <c r="Q273">
        <v>96.85</v>
      </c>
      <c r="R273">
        <v>97.014951442744362</v>
      </c>
      <c r="S273">
        <v>97.160815270568335</v>
      </c>
      <c r="T273">
        <v>97.451323382759199</v>
      </c>
      <c r="U273">
        <v>97.001469110028609</v>
      </c>
      <c r="V273">
        <v>95.9</v>
      </c>
      <c r="W273">
        <v>78.39</v>
      </c>
      <c r="X273">
        <v>91.35</v>
      </c>
      <c r="Y273">
        <v>95.02</v>
      </c>
      <c r="Z273">
        <v>93.52</v>
      </c>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98.07</v>
      </c>
      <c r="D274">
        <v>98.25</v>
      </c>
      <c r="E274">
        <v>98.4</v>
      </c>
      <c r="F274">
        <v>98.534393363290704</v>
      </c>
      <c r="G274">
        <v>98.565745980166952</v>
      </c>
      <c r="H274">
        <v>98.406433837217904</v>
      </c>
      <c r="I274">
        <v>98.34714931393016</v>
      </c>
      <c r="J274">
        <v>98.2</v>
      </c>
      <c r="K274">
        <v>95.91</v>
      </c>
      <c r="L274">
        <v>95.92</v>
      </c>
      <c r="M274">
        <v>96.67</v>
      </c>
      <c r="N274">
        <v>97.69</v>
      </c>
      <c r="O274">
        <v>98.41</v>
      </c>
      <c r="P274">
        <v>98.97</v>
      </c>
      <c r="Q274">
        <v>99.51</v>
      </c>
      <c r="R274">
        <v>99.840317843530499</v>
      </c>
      <c r="S274">
        <v>99.556981927822278</v>
      </c>
      <c r="T274">
        <v>99.345347289665796</v>
      </c>
      <c r="U274">
        <v>99.214397943150985</v>
      </c>
      <c r="V274">
        <v>98.22</v>
      </c>
      <c r="W274">
        <v>86.64</v>
      </c>
      <c r="X274">
        <v>91.46</v>
      </c>
      <c r="Y274">
        <v>97.44</v>
      </c>
      <c r="Z274">
        <v>98.56</v>
      </c>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97.42</v>
      </c>
      <c r="D275">
        <v>97.22</v>
      </c>
      <c r="E275">
        <v>97.08</v>
      </c>
      <c r="F275">
        <v>97.30633028099659</v>
      </c>
      <c r="G275">
        <v>97.358871167100105</v>
      </c>
      <c r="H275">
        <v>97.119499205830095</v>
      </c>
      <c r="I275">
        <v>97.099152423648079</v>
      </c>
      <c r="J275">
        <v>96.94</v>
      </c>
      <c r="K275">
        <v>96.11</v>
      </c>
      <c r="L275">
        <v>96.48</v>
      </c>
      <c r="M275">
        <v>96.53</v>
      </c>
      <c r="N275">
        <v>96.37</v>
      </c>
      <c r="O275">
        <v>96.47</v>
      </c>
      <c r="P275">
        <v>95.89</v>
      </c>
      <c r="Q275">
        <v>96.62</v>
      </c>
      <c r="R275">
        <v>96.765632627701592</v>
      </c>
      <c r="S275">
        <v>97.206288041336435</v>
      </c>
      <c r="T275">
        <v>96.923007081895705</v>
      </c>
      <c r="U275">
        <v>98.010880960127238</v>
      </c>
      <c r="V275">
        <v>96.63</v>
      </c>
      <c r="W275">
        <v>91.24</v>
      </c>
      <c r="X275">
        <v>91.84</v>
      </c>
      <c r="Y275">
        <v>95.01</v>
      </c>
      <c r="Z275">
        <v>94.47</v>
      </c>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98.65</v>
      </c>
      <c r="D276">
        <v>98.52</v>
      </c>
      <c r="E276">
        <v>98.47</v>
      </c>
      <c r="F276">
        <v>98.46736116315671</v>
      </c>
      <c r="G276">
        <v>98.260260307809233</v>
      </c>
      <c r="H276">
        <v>98.158290498529695</v>
      </c>
      <c r="I276">
        <v>98.257254440851639</v>
      </c>
      <c r="J276">
        <v>98.14</v>
      </c>
      <c r="K276">
        <v>98.19</v>
      </c>
      <c r="L276">
        <v>98.27</v>
      </c>
      <c r="M276">
        <v>98.22</v>
      </c>
      <c r="N276">
        <v>98.14</v>
      </c>
      <c r="O276">
        <v>98.52</v>
      </c>
      <c r="P276">
        <v>98.7</v>
      </c>
      <c r="Q276">
        <v>99.08</v>
      </c>
      <c r="R276">
        <v>98.560405389842217</v>
      </c>
      <c r="S276">
        <v>98.219726893127188</v>
      </c>
      <c r="T276">
        <v>98.221315684372598</v>
      </c>
      <c r="U276">
        <v>97.78384900217732</v>
      </c>
      <c r="V276">
        <v>98.23</v>
      </c>
      <c r="W276">
        <v>96.02</v>
      </c>
      <c r="X276">
        <v>97.36</v>
      </c>
      <c r="Y276">
        <v>96.78</v>
      </c>
      <c r="Z276">
        <v>97.3</v>
      </c>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95.43</v>
      </c>
      <c r="D277">
        <v>95.47</v>
      </c>
      <c r="E277">
        <v>96.15</v>
      </c>
      <c r="F277">
        <v>96.576982387793194</v>
      </c>
      <c r="G277">
        <v>97.168822090178267</v>
      </c>
      <c r="H277">
        <v>97.561020505835103</v>
      </c>
      <c r="I277">
        <v>97.735113503070451</v>
      </c>
      <c r="J277">
        <v>97.28</v>
      </c>
      <c r="K277">
        <v>96.49</v>
      </c>
      <c r="L277">
        <v>96.06</v>
      </c>
      <c r="M277">
        <v>95.72</v>
      </c>
      <c r="N277">
        <v>96.39</v>
      </c>
      <c r="O277">
        <v>97.43</v>
      </c>
      <c r="P277">
        <v>96.25</v>
      </c>
      <c r="Q277">
        <v>97.14</v>
      </c>
      <c r="R277">
        <v>98.201731665803308</v>
      </c>
      <c r="S277">
        <v>98.166410771229479</v>
      </c>
      <c r="T277">
        <v>98.685757347400099</v>
      </c>
      <c r="U277">
        <v>98.682965654988067</v>
      </c>
      <c r="V277">
        <v>97.74</v>
      </c>
      <c r="W277">
        <v>93.39</v>
      </c>
      <c r="X277">
        <v>97.98</v>
      </c>
      <c r="Y277">
        <v>98.41</v>
      </c>
      <c r="Z277">
        <v>99.31</v>
      </c>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99.2</v>
      </c>
      <c r="D278">
        <v>99.02</v>
      </c>
      <c r="E278">
        <v>99.13</v>
      </c>
      <c r="F278">
        <v>98.994402058597814</v>
      </c>
      <c r="G278">
        <v>98.838978387302134</v>
      </c>
      <c r="H278">
        <v>98.971337056504495</v>
      </c>
      <c r="I278">
        <v>98.715430244203063</v>
      </c>
      <c r="J278">
        <v>98.04</v>
      </c>
      <c r="K278">
        <v>97.33</v>
      </c>
      <c r="L278">
        <v>98.22</v>
      </c>
      <c r="M278">
        <v>97.71</v>
      </c>
      <c r="N278">
        <v>97.81</v>
      </c>
      <c r="O278">
        <v>99.2</v>
      </c>
      <c r="P278">
        <v>99.4</v>
      </c>
      <c r="Q278">
        <v>99.15</v>
      </c>
      <c r="R278">
        <v>98.164488017429193</v>
      </c>
      <c r="S278">
        <v>97.482042990802825</v>
      </c>
      <c r="T278">
        <v>98.4150239744272</v>
      </c>
      <c r="U278">
        <v>97.991332104949009</v>
      </c>
      <c r="V278">
        <v>97.14</v>
      </c>
      <c r="W278">
        <v>96.49</v>
      </c>
      <c r="X278">
        <v>97.88</v>
      </c>
      <c r="Y278">
        <v>96.55</v>
      </c>
      <c r="Z278">
        <v>96.46</v>
      </c>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97.99</v>
      </c>
      <c r="D279">
        <v>98.1</v>
      </c>
      <c r="E279">
        <v>98.28</v>
      </c>
      <c r="F279">
        <v>98.332907813489925</v>
      </c>
      <c r="G279">
        <v>98.164841663829108</v>
      </c>
      <c r="H279">
        <v>98.268770597201694</v>
      </c>
      <c r="I279">
        <v>98.177234981134191</v>
      </c>
      <c r="J279">
        <v>98.1</v>
      </c>
      <c r="K279">
        <v>96.09</v>
      </c>
      <c r="L279">
        <v>96.7</v>
      </c>
      <c r="M279">
        <v>95.88</v>
      </c>
      <c r="N279">
        <v>97.62</v>
      </c>
      <c r="O279">
        <v>97.03</v>
      </c>
      <c r="P279">
        <v>97.56</v>
      </c>
      <c r="Q279">
        <v>97.34</v>
      </c>
      <c r="R279">
        <v>97.818038855944707</v>
      </c>
      <c r="S279">
        <v>97.586788211788217</v>
      </c>
      <c r="T279">
        <v>98.579649402920495</v>
      </c>
      <c r="U279">
        <v>97.928466376693677</v>
      </c>
      <c r="V279">
        <v>98.03</v>
      </c>
      <c r="W279">
        <v>91.15</v>
      </c>
      <c r="X279">
        <v>93.88</v>
      </c>
      <c r="Y279">
        <v>96.36</v>
      </c>
      <c r="Z279">
        <v>96.44</v>
      </c>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97.94</v>
      </c>
      <c r="D280">
        <v>97.67</v>
      </c>
      <c r="E280">
        <v>98.04</v>
      </c>
      <c r="F280">
        <v>98.0763243703813</v>
      </c>
      <c r="G280">
        <v>97.925837732834111</v>
      </c>
      <c r="H280">
        <v>97.799641423046694</v>
      </c>
      <c r="I280">
        <v>97.707966686529119</v>
      </c>
      <c r="J280">
        <v>97.54</v>
      </c>
      <c r="K280">
        <v>95.07</v>
      </c>
      <c r="L280">
        <v>96.68</v>
      </c>
      <c r="M280">
        <v>97.82</v>
      </c>
      <c r="N280">
        <v>97.24</v>
      </c>
      <c r="O280">
        <v>99.04</v>
      </c>
      <c r="P280">
        <v>99.26</v>
      </c>
      <c r="Q280">
        <v>99.15</v>
      </c>
      <c r="R280">
        <v>99.294063187131115</v>
      </c>
      <c r="S280">
        <v>98.924394146856486</v>
      </c>
      <c r="T280">
        <v>99.608399162784394</v>
      </c>
      <c r="U280">
        <v>98.41151125924722</v>
      </c>
      <c r="V280">
        <v>99.32</v>
      </c>
      <c r="W280">
        <v>96.04</v>
      </c>
      <c r="X280">
        <v>98.51</v>
      </c>
      <c r="Y280">
        <v>98.16</v>
      </c>
      <c r="Z280">
        <v>98.04</v>
      </c>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98.88</v>
      </c>
      <c r="D281">
        <v>98.25</v>
      </c>
      <c r="E281">
        <v>98.47</v>
      </c>
      <c r="F281">
        <v>98.901933483117617</v>
      </c>
      <c r="G281">
        <v>97.615217847401908</v>
      </c>
      <c r="H281">
        <v>98.790379694242702</v>
      </c>
      <c r="I281">
        <v>98.534048058496779</v>
      </c>
      <c r="J281">
        <v>98.49</v>
      </c>
      <c r="K281">
        <v>95.88</v>
      </c>
      <c r="L281">
        <v>97.26</v>
      </c>
      <c r="M281">
        <v>97.86</v>
      </c>
      <c r="N281">
        <v>97.49</v>
      </c>
      <c r="O281">
        <v>98.77</v>
      </c>
      <c r="P281">
        <v>98.94</v>
      </c>
      <c r="Q281">
        <v>98.51</v>
      </c>
      <c r="R281">
        <v>98.900609991687247</v>
      </c>
      <c r="S281">
        <v>98.075356064866355</v>
      </c>
      <c r="T281">
        <v>98.655435144856696</v>
      </c>
      <c r="U281">
        <v>98.241688702058894</v>
      </c>
      <c r="V281">
        <v>98.92</v>
      </c>
      <c r="W281">
        <v>95.21</v>
      </c>
      <c r="X281">
        <v>98.29</v>
      </c>
      <c r="Y281">
        <v>99.02</v>
      </c>
      <c r="Z281">
        <v>98.63</v>
      </c>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97.2</v>
      </c>
      <c r="D282">
        <v>97.69</v>
      </c>
      <c r="E282">
        <v>97.6</v>
      </c>
      <c r="F282">
        <v>97.365403275603512</v>
      </c>
      <c r="G282">
        <v>97.253830554303747</v>
      </c>
      <c r="H282">
        <v>97.580384987632996</v>
      </c>
      <c r="I282">
        <v>97.666095759094048</v>
      </c>
      <c r="J282">
        <v>97.71</v>
      </c>
      <c r="K282">
        <v>97.33</v>
      </c>
      <c r="L282">
        <v>97.8</v>
      </c>
      <c r="M282">
        <v>98.34</v>
      </c>
      <c r="N282">
        <v>98.3</v>
      </c>
      <c r="O282">
        <v>96.7</v>
      </c>
      <c r="P282">
        <v>99.19</v>
      </c>
      <c r="Q282">
        <v>98.34</v>
      </c>
      <c r="R282">
        <v>98.764635383055221</v>
      </c>
      <c r="S282">
        <v>97.704802259887003</v>
      </c>
      <c r="T282">
        <v>97.999809505667201</v>
      </c>
      <c r="U282">
        <v>97.613943517569197</v>
      </c>
      <c r="V282">
        <v>97.62</v>
      </c>
      <c r="W282">
        <v>91.53</v>
      </c>
      <c r="X282">
        <v>93.67</v>
      </c>
      <c r="Y282">
        <v>98.95</v>
      </c>
      <c r="Z282">
        <v>97.78</v>
      </c>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96.39</v>
      </c>
      <c r="D283">
        <v>95.27</v>
      </c>
      <c r="E283">
        <v>95.97</v>
      </c>
      <c r="F283">
        <v>96.973140111015908</v>
      </c>
      <c r="G283">
        <v>96.558164354322301</v>
      </c>
      <c r="H283">
        <v>96.673907140917706</v>
      </c>
      <c r="I283">
        <v>96.604643765903305</v>
      </c>
      <c r="J283">
        <v>96.48</v>
      </c>
      <c r="K283">
        <v>93.27</v>
      </c>
      <c r="L283">
        <v>92.91</v>
      </c>
      <c r="M283">
        <v>93.79</v>
      </c>
      <c r="N283">
        <v>93.97</v>
      </c>
      <c r="O283">
        <v>95.35</v>
      </c>
      <c r="P283">
        <v>95.52</v>
      </c>
      <c r="Q283">
        <v>96.08</v>
      </c>
      <c r="R283">
        <v>98.265070491006327</v>
      </c>
      <c r="S283">
        <v>97.700665121738353</v>
      </c>
      <c r="T283">
        <v>98.122486854314801</v>
      </c>
      <c r="U283">
        <v>98.634812286689424</v>
      </c>
      <c r="V283">
        <v>98.41</v>
      </c>
      <c r="W283">
        <v>88.01</v>
      </c>
      <c r="X283">
        <v>93.97</v>
      </c>
      <c r="Y283">
        <v>95.78</v>
      </c>
      <c r="Z283">
        <v>95.84</v>
      </c>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98.67</v>
      </c>
      <c r="D284">
        <v>98.18</v>
      </c>
      <c r="E284">
        <v>98.23</v>
      </c>
      <c r="F284">
        <v>98.349464418045855</v>
      </c>
      <c r="G284">
        <v>98.483707925583403</v>
      </c>
      <c r="H284">
        <v>98.145717098785596</v>
      </c>
      <c r="I284">
        <v>98.075245682386452</v>
      </c>
      <c r="J284">
        <v>98</v>
      </c>
      <c r="K284">
        <v>98.01</v>
      </c>
      <c r="L284">
        <v>98.01</v>
      </c>
      <c r="M284">
        <v>98.28</v>
      </c>
      <c r="N284">
        <v>97.73</v>
      </c>
      <c r="O284">
        <v>99.13</v>
      </c>
      <c r="P284">
        <v>99.12</v>
      </c>
      <c r="Q284">
        <v>99.17</v>
      </c>
      <c r="R284">
        <v>99.459559049315232</v>
      </c>
      <c r="S284">
        <v>97.341307437233539</v>
      </c>
      <c r="T284">
        <v>98.528705260629295</v>
      </c>
      <c r="U284">
        <v>98.632891033373539</v>
      </c>
      <c r="V284">
        <v>98.88</v>
      </c>
      <c r="W284">
        <v>97.94</v>
      </c>
      <c r="X284">
        <v>96.75</v>
      </c>
      <c r="Y284">
        <v>97.39</v>
      </c>
      <c r="Z284">
        <v>98.33</v>
      </c>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t="s">
        <v>879</v>
      </c>
      <c r="D285" t="s">
        <v>879</v>
      </c>
      <c r="E285" t="s">
        <v>879</v>
      </c>
      <c r="F285" t="s">
        <v>879</v>
      </c>
      <c r="G285" t="s">
        <v>879</v>
      </c>
      <c r="H285" t="s">
        <v>879</v>
      </c>
      <c r="I285" t="s">
        <v>879</v>
      </c>
      <c r="J285" t="s">
        <v>879</v>
      </c>
      <c r="K285" t="s">
        <v>879</v>
      </c>
      <c r="L285">
        <v>96.48</v>
      </c>
      <c r="M285">
        <v>96.97</v>
      </c>
      <c r="N285">
        <v>96.35</v>
      </c>
      <c r="O285" t="s">
        <v>879</v>
      </c>
      <c r="P285" t="s">
        <v>879</v>
      </c>
      <c r="Q285" t="s">
        <v>879</v>
      </c>
      <c r="R285" t="s">
        <v>879</v>
      </c>
      <c r="S285" t="s">
        <v>879</v>
      </c>
      <c r="T285" t="s">
        <v>879</v>
      </c>
      <c r="U285" t="s">
        <v>879</v>
      </c>
      <c r="V285" t="s">
        <v>879</v>
      </c>
      <c r="W285" t="s">
        <v>879</v>
      </c>
      <c r="X285">
        <v>95.95</v>
      </c>
      <c r="Y285">
        <v>98.02</v>
      </c>
      <c r="Z285">
        <v>98.48</v>
      </c>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98.74</v>
      </c>
      <c r="D286">
        <v>98.47</v>
      </c>
      <c r="E286">
        <v>98.47</v>
      </c>
      <c r="F286">
        <v>98.472318472318477</v>
      </c>
      <c r="G286">
        <v>98.498960255396412</v>
      </c>
      <c r="H286">
        <v>98.661870900170797</v>
      </c>
      <c r="I286">
        <v>98.477574388334062</v>
      </c>
      <c r="J286">
        <v>98.35</v>
      </c>
      <c r="K286">
        <v>97.03</v>
      </c>
      <c r="L286">
        <v>95.65</v>
      </c>
      <c r="M286">
        <v>97.41</v>
      </c>
      <c r="N286">
        <v>97.81</v>
      </c>
      <c r="O286">
        <v>98.72</v>
      </c>
      <c r="P286">
        <v>98.28</v>
      </c>
      <c r="Q286">
        <v>98.54</v>
      </c>
      <c r="R286">
        <v>98.544648739294487</v>
      </c>
      <c r="S286">
        <v>97.803790095746805</v>
      </c>
      <c r="T286">
        <v>97.534863291973195</v>
      </c>
      <c r="U286">
        <v>98.057363976259566</v>
      </c>
      <c r="V286">
        <v>98.44</v>
      </c>
      <c r="W286">
        <v>92.43</v>
      </c>
      <c r="X286">
        <v>88.58</v>
      </c>
      <c r="Y286">
        <v>98.39</v>
      </c>
      <c r="Z286">
        <v>97.89</v>
      </c>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t="s">
        <v>879</v>
      </c>
      <c r="D287" t="s">
        <v>879</v>
      </c>
      <c r="E287" t="s">
        <v>879</v>
      </c>
      <c r="F287" t="s">
        <v>879</v>
      </c>
      <c r="G287" t="s">
        <v>879</v>
      </c>
      <c r="H287" t="s">
        <v>879</v>
      </c>
      <c r="I287" t="s">
        <v>879</v>
      </c>
      <c r="J287">
        <v>97.27</v>
      </c>
      <c r="K287">
        <v>97.02</v>
      </c>
      <c r="L287">
        <v>97.3</v>
      </c>
      <c r="M287">
        <v>97.28</v>
      </c>
      <c r="N287">
        <v>97.13</v>
      </c>
      <c r="O287" t="s">
        <v>879</v>
      </c>
      <c r="P287" t="s">
        <v>879</v>
      </c>
      <c r="Q287" t="s">
        <v>879</v>
      </c>
      <c r="R287" t="s">
        <v>879</v>
      </c>
      <c r="S287" t="s">
        <v>879</v>
      </c>
      <c r="T287" t="s">
        <v>879</v>
      </c>
      <c r="U287" t="s">
        <v>879</v>
      </c>
      <c r="V287">
        <v>98.38</v>
      </c>
      <c r="W287">
        <v>97.51</v>
      </c>
      <c r="X287">
        <v>98.13</v>
      </c>
      <c r="Y287">
        <v>98.37</v>
      </c>
      <c r="Z287">
        <v>97.9</v>
      </c>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96.25</v>
      </c>
      <c r="D288">
        <v>96.27</v>
      </c>
      <c r="E288">
        <v>96.47</v>
      </c>
      <c r="F288">
        <v>96.471265029051366</v>
      </c>
      <c r="G288">
        <v>96.367047586559778</v>
      </c>
      <c r="H288">
        <v>96.604864216381202</v>
      </c>
      <c r="I288">
        <v>96.679583459541888</v>
      </c>
      <c r="J288">
        <v>96.66</v>
      </c>
      <c r="K288">
        <v>91.06</v>
      </c>
      <c r="L288">
        <v>91.5</v>
      </c>
      <c r="M288">
        <v>93.56</v>
      </c>
      <c r="N288">
        <v>93.62</v>
      </c>
      <c r="O288">
        <v>98.23</v>
      </c>
      <c r="P288">
        <v>98.38</v>
      </c>
      <c r="Q288">
        <v>98.43</v>
      </c>
      <c r="R288">
        <v>98.523417647514137</v>
      </c>
      <c r="S288">
        <v>98.418871952827729</v>
      </c>
      <c r="T288">
        <v>98.386847564319595</v>
      </c>
      <c r="U288">
        <v>98.017748995995518</v>
      </c>
      <c r="V288">
        <v>97.58</v>
      </c>
      <c r="W288">
        <v>88.76</v>
      </c>
      <c r="X288">
        <v>91.84</v>
      </c>
      <c r="Y288">
        <v>95.54</v>
      </c>
      <c r="Z288">
        <v>97.16</v>
      </c>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t="s">
        <v>879</v>
      </c>
      <c r="D289" t="s">
        <v>879</v>
      </c>
      <c r="E289" t="s">
        <v>879</v>
      </c>
      <c r="F289" t="s">
        <v>879</v>
      </c>
      <c r="G289" t="s">
        <v>879</v>
      </c>
      <c r="H289" t="s">
        <v>879</v>
      </c>
      <c r="I289" t="s">
        <v>879</v>
      </c>
      <c r="J289" t="s">
        <v>879</v>
      </c>
      <c r="K289" t="s">
        <v>879</v>
      </c>
      <c r="L289" t="s">
        <v>879</v>
      </c>
      <c r="M289" t="s">
        <v>879</v>
      </c>
      <c r="N289">
        <v>97.38</v>
      </c>
      <c r="O289" t="s">
        <v>879</v>
      </c>
      <c r="P289" t="s">
        <v>879</v>
      </c>
      <c r="Q289" t="s">
        <v>879</v>
      </c>
      <c r="R289" t="s">
        <v>879</v>
      </c>
      <c r="S289" t="s">
        <v>879</v>
      </c>
      <c r="T289" t="s">
        <v>879</v>
      </c>
      <c r="U289" t="s">
        <v>879</v>
      </c>
      <c r="V289" t="s">
        <v>879</v>
      </c>
      <c r="W289" t="s">
        <v>879</v>
      </c>
      <c r="X289" t="s">
        <v>879</v>
      </c>
      <c r="Y289" t="s">
        <v>879</v>
      </c>
      <c r="Z289">
        <v>94.44</v>
      </c>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95.96</v>
      </c>
      <c r="D290">
        <v>94.98</v>
      </c>
      <c r="E290">
        <v>95</v>
      </c>
      <c r="F290">
        <v>95.158139419866956</v>
      </c>
      <c r="G290">
        <v>95.140455686548663</v>
      </c>
      <c r="H290">
        <v>95.633630111425006</v>
      </c>
      <c r="I290">
        <v>95.698808155713124</v>
      </c>
      <c r="J290">
        <v>95.41</v>
      </c>
      <c r="K290">
        <v>95.32</v>
      </c>
      <c r="L290">
        <v>95.12</v>
      </c>
      <c r="M290">
        <v>96.02</v>
      </c>
      <c r="N290">
        <v>95.19</v>
      </c>
      <c r="O290">
        <v>96.57</v>
      </c>
      <c r="P290">
        <v>96.37</v>
      </c>
      <c r="Q290">
        <v>97.05</v>
      </c>
      <c r="R290">
        <v>97.122363485800577</v>
      </c>
      <c r="S290">
        <v>97.773425909441585</v>
      </c>
      <c r="T290">
        <v>98.554106169227595</v>
      </c>
      <c r="U290">
        <v>97.874052078034239</v>
      </c>
      <c r="V290">
        <v>97.18</v>
      </c>
      <c r="W290">
        <v>96.21</v>
      </c>
      <c r="X290">
        <v>96.2</v>
      </c>
      <c r="Y290">
        <v>96.5</v>
      </c>
      <c r="Z290">
        <v>97.61</v>
      </c>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97.78</v>
      </c>
      <c r="D291">
        <v>97.76</v>
      </c>
      <c r="E291">
        <v>97.8</v>
      </c>
      <c r="F291">
        <v>97.893584703359537</v>
      </c>
      <c r="G291">
        <v>98.055071380417274</v>
      </c>
      <c r="H291">
        <v>97.888463705819902</v>
      </c>
      <c r="I291">
        <v>97.814431612566338</v>
      </c>
      <c r="J291">
        <v>97.42</v>
      </c>
      <c r="K291">
        <v>97.82</v>
      </c>
      <c r="L291">
        <v>97.9</v>
      </c>
      <c r="M291">
        <v>97.73</v>
      </c>
      <c r="N291">
        <v>97.71</v>
      </c>
      <c r="O291">
        <v>97</v>
      </c>
      <c r="P291">
        <v>97.75</v>
      </c>
      <c r="Q291">
        <v>98.15</v>
      </c>
      <c r="R291">
        <v>98.088616845111588</v>
      </c>
      <c r="S291">
        <v>98.014221855797601</v>
      </c>
      <c r="T291">
        <v>98.258525692691805</v>
      </c>
      <c r="U291">
        <v>98.531699162907174</v>
      </c>
      <c r="V291">
        <v>98</v>
      </c>
      <c r="W291">
        <v>97.38</v>
      </c>
      <c r="X291">
        <v>97.43</v>
      </c>
      <c r="Y291">
        <v>97.87</v>
      </c>
      <c r="Z291">
        <v>97.8</v>
      </c>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98.76</v>
      </c>
      <c r="D292">
        <v>98.57</v>
      </c>
      <c r="E292">
        <v>98.62</v>
      </c>
      <c r="F292">
        <v>98.666803464903921</v>
      </c>
      <c r="G292">
        <v>98.798004687781713</v>
      </c>
      <c r="H292">
        <v>98.731333421435096</v>
      </c>
      <c r="I292">
        <v>98.672228785193937</v>
      </c>
      <c r="J292">
        <v>98.57</v>
      </c>
      <c r="K292">
        <v>98.31</v>
      </c>
      <c r="L292">
        <v>98.22</v>
      </c>
      <c r="M292">
        <v>98.57</v>
      </c>
      <c r="N292">
        <v>98.14</v>
      </c>
      <c r="O292">
        <v>98.56</v>
      </c>
      <c r="P292">
        <v>99.43</v>
      </c>
      <c r="Q292">
        <v>98.56</v>
      </c>
      <c r="R292">
        <v>98.530905058136511</v>
      </c>
      <c r="S292">
        <v>98.949628361393067</v>
      </c>
      <c r="T292">
        <v>99.012904307021898</v>
      </c>
      <c r="U292">
        <v>98.643389302791064</v>
      </c>
      <c r="V292">
        <v>97.68</v>
      </c>
      <c r="W292">
        <v>96.09</v>
      </c>
      <c r="X292">
        <v>97.68</v>
      </c>
      <c r="Y292">
        <v>98.18</v>
      </c>
      <c r="Z292">
        <v>98.76</v>
      </c>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97.75</v>
      </c>
      <c r="D293">
        <v>97.73</v>
      </c>
      <c r="E293">
        <v>98.02</v>
      </c>
      <c r="F293">
        <v>98.76556166288421</v>
      </c>
      <c r="G293">
        <v>98.108276133321496</v>
      </c>
      <c r="H293">
        <v>98.310639224127499</v>
      </c>
      <c r="I293">
        <v>98.048786063737367</v>
      </c>
      <c r="J293">
        <v>98.01</v>
      </c>
      <c r="K293">
        <v>96.66</v>
      </c>
      <c r="L293">
        <v>97.11</v>
      </c>
      <c r="M293">
        <v>97.33</v>
      </c>
      <c r="N293">
        <v>97.35</v>
      </c>
      <c r="O293">
        <v>95.38</v>
      </c>
      <c r="P293">
        <v>95.71</v>
      </c>
      <c r="Q293">
        <v>97</v>
      </c>
      <c r="R293">
        <v>97.986241400875556</v>
      </c>
      <c r="S293">
        <v>98.314317261685673</v>
      </c>
      <c r="T293">
        <v>99.072844649970193</v>
      </c>
      <c r="U293">
        <v>96.942471475031809</v>
      </c>
      <c r="V293">
        <v>98.25</v>
      </c>
      <c r="W293">
        <v>95.19</v>
      </c>
      <c r="X293">
        <v>96.19</v>
      </c>
      <c r="Y293">
        <v>98.01</v>
      </c>
      <c r="Z293">
        <v>98.36</v>
      </c>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96.77</v>
      </c>
      <c r="D294">
        <v>95.43</v>
      </c>
      <c r="E294">
        <v>95.48</v>
      </c>
      <c r="F294">
        <v>95.256592429684318</v>
      </c>
      <c r="G294">
        <v>95.423255179934571</v>
      </c>
      <c r="H294">
        <v>95.468266203733606</v>
      </c>
      <c r="I294">
        <v>94.84457509935217</v>
      </c>
      <c r="J294">
        <v>94.79</v>
      </c>
      <c r="K294">
        <v>93.85</v>
      </c>
      <c r="L294">
        <v>94.43</v>
      </c>
      <c r="M294">
        <v>94.29</v>
      </c>
      <c r="N294">
        <v>93.72</v>
      </c>
      <c r="O294">
        <v>95.35</v>
      </c>
      <c r="P294">
        <v>96.9</v>
      </c>
      <c r="Q294">
        <v>98.2</v>
      </c>
      <c r="R294">
        <v>97.238545362747715</v>
      </c>
      <c r="S294">
        <v>97.561491948821768</v>
      </c>
      <c r="T294">
        <v>97.927103603417095</v>
      </c>
      <c r="U294">
        <v>97.898122014763359</v>
      </c>
      <c r="V294">
        <v>97.12</v>
      </c>
      <c r="W294">
        <v>94.28</v>
      </c>
      <c r="X294">
        <v>96.21</v>
      </c>
      <c r="Y294">
        <v>95.99</v>
      </c>
      <c r="Z294">
        <v>96.6</v>
      </c>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97.96</v>
      </c>
      <c r="D295">
        <v>97.98</v>
      </c>
      <c r="E295">
        <v>98.25</v>
      </c>
      <c r="F295">
        <v>98.470363288718929</v>
      </c>
      <c r="G295">
        <v>98.673983938397001</v>
      </c>
      <c r="H295">
        <v>98.749096266386502</v>
      </c>
      <c r="I295">
        <v>98.663434281243184</v>
      </c>
      <c r="J295">
        <v>98.42</v>
      </c>
      <c r="K295">
        <v>98.07</v>
      </c>
      <c r="L295">
        <v>98.42</v>
      </c>
      <c r="M295">
        <v>97.9</v>
      </c>
      <c r="N295">
        <v>97.89</v>
      </c>
      <c r="O295">
        <v>97.46</v>
      </c>
      <c r="P295">
        <v>98.16</v>
      </c>
      <c r="Q295">
        <v>97.47</v>
      </c>
      <c r="R295">
        <v>97.793572311495666</v>
      </c>
      <c r="S295">
        <v>97.857024997937458</v>
      </c>
      <c r="T295">
        <v>98.460033181605397</v>
      </c>
      <c r="U295">
        <v>97.440006574621961</v>
      </c>
      <c r="V295">
        <v>97.51</v>
      </c>
      <c r="W295">
        <v>94.33</v>
      </c>
      <c r="X295">
        <v>96.19</v>
      </c>
      <c r="Y295">
        <v>96.06</v>
      </c>
      <c r="Z295">
        <v>93.81</v>
      </c>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99.43</v>
      </c>
      <c r="D296">
        <v>99.29</v>
      </c>
      <c r="E296">
        <v>99.51</v>
      </c>
      <c r="F296">
        <v>99.514325890319427</v>
      </c>
      <c r="G296">
        <v>99.605225788128365</v>
      </c>
      <c r="H296">
        <v>99.486358894566493</v>
      </c>
      <c r="I296">
        <v>99.443926532881932</v>
      </c>
      <c r="J296">
        <v>99.49</v>
      </c>
      <c r="K296">
        <v>99.09</v>
      </c>
      <c r="L296">
        <v>99.47</v>
      </c>
      <c r="M296">
        <v>99.49</v>
      </c>
      <c r="N296">
        <v>99.26</v>
      </c>
      <c r="O296">
        <v>98.42</v>
      </c>
      <c r="P296">
        <v>99.07</v>
      </c>
      <c r="Q296">
        <v>99.77</v>
      </c>
      <c r="R296">
        <v>99.090799094256127</v>
      </c>
      <c r="S296">
        <v>99.698348500168521</v>
      </c>
      <c r="T296">
        <v>98.919140163114307</v>
      </c>
      <c r="U296">
        <v>99.121893557738318</v>
      </c>
      <c r="V296">
        <v>99.44</v>
      </c>
      <c r="W296">
        <v>98.78</v>
      </c>
      <c r="X296">
        <v>98.95</v>
      </c>
      <c r="Y296">
        <v>98.88</v>
      </c>
      <c r="Z296">
        <v>98.06</v>
      </c>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96.49</v>
      </c>
      <c r="D297">
        <v>95.62</v>
      </c>
      <c r="E297">
        <v>94.96</v>
      </c>
      <c r="F297">
        <v>94.363840467667799</v>
      </c>
      <c r="G297">
        <v>93.929205658758505</v>
      </c>
      <c r="H297">
        <v>94.0154349198571</v>
      </c>
      <c r="I297">
        <v>94.057260078487332</v>
      </c>
      <c r="J297">
        <v>93.78</v>
      </c>
      <c r="K297">
        <v>91.73</v>
      </c>
      <c r="L297">
        <v>91.91</v>
      </c>
      <c r="M297">
        <v>93.66</v>
      </c>
      <c r="N297">
        <v>93.14</v>
      </c>
      <c r="O297">
        <v>95.4</v>
      </c>
      <c r="P297">
        <v>94.76</v>
      </c>
      <c r="Q297">
        <v>96.48</v>
      </c>
      <c r="R297">
        <v>97.783122717265428</v>
      </c>
      <c r="S297">
        <v>98.149874232306331</v>
      </c>
      <c r="T297">
        <v>97.235108801127197</v>
      </c>
      <c r="U297">
        <v>97.231374216176008</v>
      </c>
      <c r="V297">
        <v>97.23</v>
      </c>
      <c r="W297">
        <v>89.17</v>
      </c>
      <c r="X297">
        <v>95.25</v>
      </c>
      <c r="Y297">
        <v>94.89</v>
      </c>
      <c r="Z297">
        <v>95.91</v>
      </c>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97.55</v>
      </c>
      <c r="D298">
        <v>97.4</v>
      </c>
      <c r="E298">
        <v>97.57</v>
      </c>
      <c r="F298">
        <v>97.663117427269384</v>
      </c>
      <c r="G298">
        <v>97.935507631869697</v>
      </c>
      <c r="H298">
        <v>98.063068383134507</v>
      </c>
      <c r="I298">
        <v>98.112045967576449</v>
      </c>
      <c r="J298">
        <v>97.88</v>
      </c>
      <c r="K298">
        <v>97.63</v>
      </c>
      <c r="L298">
        <v>97.5</v>
      </c>
      <c r="M298">
        <v>95.02</v>
      </c>
      <c r="N298">
        <v>94.73</v>
      </c>
      <c r="O298">
        <v>98.5</v>
      </c>
      <c r="P298">
        <v>98.01</v>
      </c>
      <c r="Q298">
        <v>98.13</v>
      </c>
      <c r="R298">
        <v>98.744189442429857</v>
      </c>
      <c r="S298">
        <v>98.932150484639394</v>
      </c>
      <c r="T298">
        <v>98.895120314447297</v>
      </c>
      <c r="U298">
        <v>98.725935641013635</v>
      </c>
      <c r="V298">
        <v>97.92</v>
      </c>
      <c r="W298">
        <v>91.71</v>
      </c>
      <c r="X298">
        <v>94.79</v>
      </c>
      <c r="Y298">
        <v>92.92</v>
      </c>
      <c r="Z298">
        <v>95.12</v>
      </c>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97.8</v>
      </c>
      <c r="D299">
        <v>97.59</v>
      </c>
      <c r="E299">
        <v>98.02</v>
      </c>
      <c r="F299">
        <v>97.291943044131955</v>
      </c>
      <c r="G299">
        <v>97.458494905239121</v>
      </c>
      <c r="H299">
        <v>97.404117496151798</v>
      </c>
      <c r="I299">
        <v>97.424022278726241</v>
      </c>
      <c r="J299">
        <v>97.37</v>
      </c>
      <c r="K299">
        <v>96.01</v>
      </c>
      <c r="L299">
        <v>96.59</v>
      </c>
      <c r="M299">
        <v>97.08</v>
      </c>
      <c r="N299">
        <v>96.59</v>
      </c>
      <c r="O299">
        <v>96.84</v>
      </c>
      <c r="P299">
        <v>97.66</v>
      </c>
      <c r="Q299">
        <v>98.25</v>
      </c>
      <c r="R299">
        <v>98.154877513940235</v>
      </c>
      <c r="S299">
        <v>97.914158439682154</v>
      </c>
      <c r="T299">
        <v>99.531381798869006</v>
      </c>
      <c r="U299">
        <v>98.103705545884111</v>
      </c>
      <c r="V299">
        <v>97.53</v>
      </c>
      <c r="W299">
        <v>91.83</v>
      </c>
      <c r="X299">
        <v>96.24</v>
      </c>
      <c r="Y299">
        <v>98.23</v>
      </c>
      <c r="Z299">
        <v>98.37</v>
      </c>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98.61</v>
      </c>
      <c r="D300">
        <v>98.44</v>
      </c>
      <c r="E300">
        <v>98.64</v>
      </c>
      <c r="F300">
        <v>98.521928761812447</v>
      </c>
      <c r="G300">
        <v>98.836520333961758</v>
      </c>
      <c r="H300">
        <v>98.920683053439006</v>
      </c>
      <c r="I300">
        <v>98.872892707591689</v>
      </c>
      <c r="J300">
        <v>98.63</v>
      </c>
      <c r="K300">
        <v>98.61</v>
      </c>
      <c r="L300">
        <v>98.54</v>
      </c>
      <c r="M300">
        <v>96.75</v>
      </c>
      <c r="N300">
        <v>96.71</v>
      </c>
      <c r="O300">
        <v>98.57</v>
      </c>
      <c r="P300">
        <v>98.37</v>
      </c>
      <c r="Q300">
        <v>98.32</v>
      </c>
      <c r="R300">
        <v>98.166662531940759</v>
      </c>
      <c r="S300">
        <v>98.519760139761075</v>
      </c>
      <c r="T300">
        <v>99.128524699758799</v>
      </c>
      <c r="U300">
        <v>99.510145331290332</v>
      </c>
      <c r="V300">
        <v>99.09</v>
      </c>
      <c r="W300">
        <v>89.83</v>
      </c>
      <c r="X300">
        <v>97.42</v>
      </c>
      <c r="Y300">
        <v>96.54</v>
      </c>
      <c r="Z300">
        <v>97.37</v>
      </c>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98.23</v>
      </c>
      <c r="D301">
        <v>98.02</v>
      </c>
      <c r="E301">
        <v>97.66</v>
      </c>
      <c r="F301">
        <v>97.886570843377868</v>
      </c>
      <c r="G301">
        <v>97.67597420417124</v>
      </c>
      <c r="H301">
        <v>97.068769305803897</v>
      </c>
      <c r="I301">
        <v>96.803604153940142</v>
      </c>
      <c r="J301">
        <v>96.89</v>
      </c>
      <c r="K301">
        <v>95.46</v>
      </c>
      <c r="L301">
        <v>96.37</v>
      </c>
      <c r="M301">
        <v>96.66</v>
      </c>
      <c r="N301">
        <v>97.18</v>
      </c>
      <c r="O301">
        <v>98.81</v>
      </c>
      <c r="P301">
        <v>98.24</v>
      </c>
      <c r="Q301">
        <v>98.21</v>
      </c>
      <c r="R301">
        <v>98.11003472856882</v>
      </c>
      <c r="S301">
        <v>99.147647224570306</v>
      </c>
      <c r="T301">
        <v>97.823214154614107</v>
      </c>
      <c r="U301">
        <v>98.076017247001701</v>
      </c>
      <c r="V301">
        <v>97.23</v>
      </c>
      <c r="W301">
        <v>92.01</v>
      </c>
      <c r="X301">
        <v>96.79</v>
      </c>
      <c r="Y301">
        <v>98.33</v>
      </c>
      <c r="Z301">
        <v>99.55</v>
      </c>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98.18</v>
      </c>
      <c r="D302">
        <v>97.03</v>
      </c>
      <c r="E302">
        <v>96.71</v>
      </c>
      <c r="F302">
        <v>96.782788515071985</v>
      </c>
      <c r="G302">
        <v>96.924950810456295</v>
      </c>
      <c r="H302">
        <v>97.170118771726493</v>
      </c>
      <c r="I302">
        <v>97.295207327341785</v>
      </c>
      <c r="J302">
        <v>97.46</v>
      </c>
      <c r="K302">
        <v>97.26</v>
      </c>
      <c r="L302">
        <v>97.38</v>
      </c>
      <c r="M302">
        <v>97.11</v>
      </c>
      <c r="N302">
        <v>97.23</v>
      </c>
      <c r="O302">
        <v>100</v>
      </c>
      <c r="P302">
        <v>96.55</v>
      </c>
      <c r="Q302">
        <v>96.86</v>
      </c>
      <c r="R302">
        <v>97.135116830342028</v>
      </c>
      <c r="S302">
        <v>96.119597010074756</v>
      </c>
      <c r="T302">
        <v>96.700975626110505</v>
      </c>
      <c r="U302">
        <v>97.996080021627463</v>
      </c>
      <c r="V302">
        <v>97.92</v>
      </c>
      <c r="W302">
        <v>94.93</v>
      </c>
      <c r="X302">
        <v>98.65</v>
      </c>
      <c r="Y302">
        <v>97.09</v>
      </c>
      <c r="Z302">
        <v>95.75</v>
      </c>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97.94</v>
      </c>
      <c r="D303">
        <v>97.58</v>
      </c>
      <c r="E303">
        <v>97.55</v>
      </c>
      <c r="F303">
        <v>97.507172457762195</v>
      </c>
      <c r="G303">
        <v>97.571905809500521</v>
      </c>
      <c r="H303">
        <v>97.326286185327007</v>
      </c>
      <c r="I303">
        <v>97.70736877335861</v>
      </c>
      <c r="J303">
        <v>97.59</v>
      </c>
      <c r="K303">
        <v>96.6</v>
      </c>
      <c r="L303">
        <v>96.77</v>
      </c>
      <c r="M303">
        <v>97.46</v>
      </c>
      <c r="N303">
        <v>97.38</v>
      </c>
      <c r="O303">
        <v>98.02</v>
      </c>
      <c r="P303">
        <v>98.01</v>
      </c>
      <c r="Q303">
        <v>98.2</v>
      </c>
      <c r="R303">
        <v>98.439012116285369</v>
      </c>
      <c r="S303">
        <v>99.045188126299863</v>
      </c>
      <c r="T303">
        <v>98.906777785262605</v>
      </c>
      <c r="U303">
        <v>98.829651355314823</v>
      </c>
      <c r="V303">
        <v>97.76</v>
      </c>
      <c r="W303">
        <v>91.93</v>
      </c>
      <c r="X303">
        <v>97.19</v>
      </c>
      <c r="Y303">
        <v>98.17</v>
      </c>
      <c r="Z303">
        <v>97.93</v>
      </c>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2"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892</v>
      </c>
      <c r="I6" s="27" t="s">
        <v>892</v>
      </c>
      <c r="J6" t="s">
        <v>315</v>
      </c>
    </row>
    <row r="7" spans="1:13" ht="14.4">
      <c r="A7" s="22" t="str">
        <f>F7&amp;(COUNTIFS(F$2:F7,F7,K$2:K7,"Sparse"))</f>
        <v>SD1</v>
      </c>
      <c r="B7" s="22" t="str">
        <f>J7&amp;(COUNTIF(J$2:J7,J7))</f>
        <v>Suffolk1</v>
      </c>
      <c r="C7" t="s">
        <v>12</v>
      </c>
      <c r="D7" t="s">
        <v>12</v>
      </c>
      <c r="E7" s="25" t="s">
        <v>368</v>
      </c>
      <c r="F7" s="25" t="s">
        <v>379</v>
      </c>
      <c r="G7" s="25" t="s">
        <v>5</v>
      </c>
      <c r="H7" s="26" t="s">
        <v>891</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892</v>
      </c>
      <c r="I12" s="27" t="s">
        <v>892</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891</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892</v>
      </c>
      <c r="I14" s="27" t="s">
        <v>892</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892</v>
      </c>
      <c r="I15" s="27" t="s">
        <v>892</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892</v>
      </c>
      <c r="I21" s="27" t="s">
        <v>892</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892</v>
      </c>
      <c r="I23" s="27" t="s">
        <v>892</v>
      </c>
      <c r="J23" t="s">
        <v>318</v>
      </c>
      <c r="K23" t="s">
        <v>335</v>
      </c>
    </row>
    <row r="24" spans="1:11" ht="14.4">
      <c r="A24" s="22" t="str">
        <f>F24&amp;(COUNTIFS(F$2:F24,F24,K$2:K24,"Sparse"))</f>
        <v>UA0</v>
      </c>
      <c r="B24" s="22" t="str">
        <f>J24&amp;(COUNTIF(J$2:J24,J24))</f>
        <v>Unitary5</v>
      </c>
      <c r="C24" t="s">
        <v>896</v>
      </c>
      <c r="D24" t="s">
        <v>896</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891</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891</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892</v>
      </c>
      <c r="I30" s="27" t="s">
        <v>892</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892</v>
      </c>
      <c r="I33" s="27" t="s">
        <v>892</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892</v>
      </c>
      <c r="I38" s="27" t="s">
        <v>892</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892</v>
      </c>
      <c r="I45" s="27" t="s">
        <v>892</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891</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892</v>
      </c>
      <c r="I52" s="27" t="s">
        <v>892</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892</v>
      </c>
      <c r="I53" s="27" t="s">
        <v>892</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892</v>
      </c>
      <c r="I54" s="27" t="s">
        <v>892</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891</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892</v>
      </c>
      <c r="I57" s="27" t="s">
        <v>892</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892</v>
      </c>
      <c r="I59" s="27" t="s">
        <v>892</v>
      </c>
      <c r="J59" t="s">
        <v>311</v>
      </c>
    </row>
    <row r="60" spans="1:11" ht="14.4">
      <c r="A60" s="22" t="str">
        <f>F60&amp;(COUNTIFS(F$2:F60,F60,K$2:K60,"Sparse"))</f>
        <v>UA2</v>
      </c>
      <c r="B60" s="22" t="str">
        <f>J60&amp;(COUNTIF(J$2:J60,J60))</f>
        <v>Unitary13</v>
      </c>
      <c r="C60" t="s">
        <v>305</v>
      </c>
      <c r="D60" t="s">
        <v>305</v>
      </c>
      <c r="E60" s="25" t="s">
        <v>1</v>
      </c>
      <c r="F60" s="25" t="s">
        <v>385</v>
      </c>
      <c r="G60" s="25" t="s">
        <v>394</v>
      </c>
      <c r="H60" s="26" t="s">
        <v>891</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891</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899</v>
      </c>
      <c r="D65" t="s">
        <v>899</v>
      </c>
      <c r="E65" s="25" t="s">
        <v>374</v>
      </c>
      <c r="F65" s="25" t="s">
        <v>385</v>
      </c>
      <c r="G65" s="25" t="s">
        <v>394</v>
      </c>
      <c r="H65" s="26" t="s">
        <v>891</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892</v>
      </c>
      <c r="I66" s="27" t="s">
        <v>892</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892</v>
      </c>
      <c r="I70" s="27" t="s">
        <v>892</v>
      </c>
      <c r="J70" t="s">
        <v>307</v>
      </c>
    </row>
    <row r="71" spans="1:11" ht="14.4">
      <c r="A71" s="22" t="str">
        <f>F71&amp;(COUNTIFS(F$2:F71,F71,K$2:K71,"Sparse"))</f>
        <v>SD6</v>
      </c>
      <c r="B71" s="22" t="str">
        <f>J71&amp;(COUNTIF(J$2:J71,J71))</f>
        <v>Derbyshire5</v>
      </c>
      <c r="C71" t="s">
        <v>50</v>
      </c>
      <c r="D71" t="s">
        <v>50</v>
      </c>
      <c r="E71" s="25" t="s">
        <v>366</v>
      </c>
      <c r="F71" s="25" t="s">
        <v>379</v>
      </c>
      <c r="G71" s="25" t="s">
        <v>5</v>
      </c>
      <c r="H71" s="26" t="s">
        <v>891</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892</v>
      </c>
      <c r="I75" s="27" t="s">
        <v>892</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891</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891</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891</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891</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892</v>
      </c>
      <c r="I82" s="27" t="s">
        <v>892</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891</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891</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892</v>
      </c>
      <c r="I85" s="27" t="s">
        <v>892</v>
      </c>
      <c r="J85" t="s">
        <v>327</v>
      </c>
    </row>
    <row r="86" spans="1:11" ht="14.4">
      <c r="A86" s="22" t="str">
        <f>F86&amp;(COUNTIFS(F$2:F86,F86,K$2:K86,"Sparse"))</f>
        <v>SD10</v>
      </c>
      <c r="B86" s="22" t="str">
        <f>J86&amp;(COUNTIF(J$2:J86,J86))</f>
        <v>Suffolk2</v>
      </c>
      <c r="C86" t="s">
        <v>894</v>
      </c>
      <c r="D86" t="s">
        <v>894</v>
      </c>
      <c r="E86" s="25" t="s">
        <v>368</v>
      </c>
      <c r="F86" s="25" t="s">
        <v>379</v>
      </c>
      <c r="G86" s="25" t="s">
        <v>5</v>
      </c>
      <c r="H86" s="26" t="s">
        <v>891</v>
      </c>
      <c r="I86" s="27" t="s">
        <v>891</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892</v>
      </c>
      <c r="I87" s="27" t="s">
        <v>892</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892</v>
      </c>
      <c r="I92" s="27" t="s">
        <v>892</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892</v>
      </c>
      <c r="I95" s="27" t="s">
        <v>892</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891</v>
      </c>
      <c r="I98" s="27" t="s">
        <v>380</v>
      </c>
      <c r="J98" t="s">
        <v>302</v>
      </c>
    </row>
    <row r="99" spans="1:11" ht="14.4">
      <c r="A99" s="22" t="str">
        <f>F99&amp;(COUNTIFS(F$2:F99,F99,K$2:K99,"Sparse"))</f>
        <v>SD10</v>
      </c>
      <c r="B99" s="22" t="str">
        <f>J99&amp;(COUNTIF(J$2:J99,J99))</f>
        <v>Kent5</v>
      </c>
      <c r="C99" t="s">
        <v>890</v>
      </c>
      <c r="D99" t="s">
        <v>890</v>
      </c>
      <c r="E99" s="25" t="s">
        <v>0</v>
      </c>
      <c r="F99" s="25" t="s">
        <v>379</v>
      </c>
      <c r="G99" s="25" t="s">
        <v>5</v>
      </c>
      <c r="H99" s="26" t="s">
        <v>892</v>
      </c>
      <c r="I99" s="27" t="s">
        <v>892</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891</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892</v>
      </c>
      <c r="I105" s="27" t="s">
        <v>892</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892</v>
      </c>
      <c r="I108" s="27" t="s">
        <v>892</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892</v>
      </c>
      <c r="I114" s="27" t="s">
        <v>892</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891</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892</v>
      </c>
      <c r="I119" s="27" t="s">
        <v>892</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891</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891</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891</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891</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891</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891</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891</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892</v>
      </c>
      <c r="I139" s="27" t="s">
        <v>892</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891</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892</v>
      </c>
      <c r="I146" s="27" t="s">
        <v>892</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892</v>
      </c>
      <c r="I147" s="27" t="s">
        <v>892</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892</v>
      </c>
      <c r="I150" s="27" t="s">
        <v>892</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892</v>
      </c>
      <c r="I151" s="27" t="s">
        <v>892</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892</v>
      </c>
      <c r="I153" s="27" t="s">
        <v>892</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892</v>
      </c>
      <c r="I158" s="27" t="s">
        <v>892</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891</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891</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891</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891</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891</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892</v>
      </c>
      <c r="I171" s="27" t="s">
        <v>892</v>
      </c>
      <c r="J171" t="s">
        <v>329</v>
      </c>
    </row>
    <row r="172" spans="1:11" ht="14.4">
      <c r="A172" s="22" t="str">
        <f>F172&amp;(COUNTIFS(F$2:F172,F172,K$2:K172,"Sparse"))</f>
        <v>SD19</v>
      </c>
      <c r="B172" s="22" t="str">
        <f>J172&amp;(COUNTIF(J$2:J172,J172))</f>
        <v>Hampshire9</v>
      </c>
      <c r="C172" t="s">
        <v>106</v>
      </c>
      <c r="D172" t="s">
        <v>106</v>
      </c>
      <c r="E172" s="25" t="s">
        <v>0</v>
      </c>
      <c r="F172" s="25" t="s">
        <v>379</v>
      </c>
      <c r="G172" s="25" t="s">
        <v>5</v>
      </c>
      <c r="H172" s="26" t="s">
        <v>892</v>
      </c>
      <c r="I172" s="27" t="s">
        <v>892</v>
      </c>
      <c r="J172" s="3" t="s">
        <v>313</v>
      </c>
    </row>
    <row r="173" spans="1:11" ht="14.4">
      <c r="A173" s="22" t="str">
        <f>F173&amp;(COUNTIFS(F$2:F173,F173,K$2:K173,"Sparse"))</f>
        <v>SD19</v>
      </c>
      <c r="B173" s="22" t="str">
        <f>J173&amp;(COUNTIF(J$2:J173,J173))</f>
        <v>Nottinghamshire6</v>
      </c>
      <c r="C173" t="s">
        <v>345</v>
      </c>
      <c r="D173" t="s">
        <v>345</v>
      </c>
      <c r="E173" s="25" t="s">
        <v>366</v>
      </c>
      <c r="F173" s="25" t="s">
        <v>379</v>
      </c>
      <c r="G173" s="25" t="s">
        <v>5</v>
      </c>
      <c r="H173" s="26" t="s">
        <v>891</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SD19</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SD20</v>
      </c>
      <c r="B178" s="22" t="str">
        <f>J178&amp;(COUNTIF(J$2:J178,J178))</f>
        <v>Devon5</v>
      </c>
      <c r="C178" t="s">
        <v>108</v>
      </c>
      <c r="D178" t="s">
        <v>108</v>
      </c>
      <c r="E178" s="25" t="s">
        <v>1</v>
      </c>
      <c r="F178" s="25" t="s">
        <v>379</v>
      </c>
      <c r="G178" s="25" t="s">
        <v>5</v>
      </c>
      <c r="H178" s="26" t="s">
        <v>891</v>
      </c>
      <c r="I178" s="27" t="s">
        <v>380</v>
      </c>
      <c r="J178" t="s">
        <v>308</v>
      </c>
      <c r="K178" t="s">
        <v>335</v>
      </c>
    </row>
    <row r="179" spans="1:11" ht="14.4">
      <c r="A179" s="22" t="str">
        <f>F179&amp;(COUNTIFS(F$2:F179,F179,K$2:K179,"Sparse"))</f>
        <v>SD20</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SD20</v>
      </c>
      <c r="B181" s="22" t="str">
        <f>J181&amp;(COUNTIF(J$2:J181,J181))</f>
        <v>Hertfordshire6</v>
      </c>
      <c r="C181" t="s">
        <v>111</v>
      </c>
      <c r="D181" t="s">
        <v>111</v>
      </c>
      <c r="E181" s="25" t="s">
        <v>368</v>
      </c>
      <c r="F181" s="25" t="s">
        <v>379</v>
      </c>
      <c r="G181" s="25" t="s">
        <v>5</v>
      </c>
      <c r="H181" s="26" t="s">
        <v>892</v>
      </c>
      <c r="I181" s="27" t="s">
        <v>892</v>
      </c>
      <c r="J181" t="s">
        <v>314</v>
      </c>
    </row>
    <row r="182" spans="1:11" ht="14.4">
      <c r="A182" s="22" t="str">
        <f>F182&amp;(COUNTIFS(F$2:F182,F182,K$2:K182,"Sparse"))</f>
        <v>SD21</v>
      </c>
      <c r="B182" s="22" t="str">
        <f>J182&amp;(COUNTIF(J$2:J182,J182))</f>
        <v>Lincolnshire5</v>
      </c>
      <c r="C182" t="s">
        <v>112</v>
      </c>
      <c r="D182" t="s">
        <v>112</v>
      </c>
      <c r="E182" s="25" t="s">
        <v>366</v>
      </c>
      <c r="F182" s="25" t="s">
        <v>379</v>
      </c>
      <c r="G182" s="25" t="s">
        <v>5</v>
      </c>
      <c r="H182" s="26" t="s">
        <v>891</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892</v>
      </c>
      <c r="I183" s="27" t="s">
        <v>892</v>
      </c>
      <c r="J183" s="3" t="s">
        <v>394</v>
      </c>
      <c r="K183" t="s">
        <v>335</v>
      </c>
    </row>
    <row r="184" spans="1:11" ht="14.4">
      <c r="A184" s="22" t="str">
        <f>F184&amp;(COUNTIFS(F$2:F184,F184,K$2:K184,"Sparse"))</f>
        <v>SD22</v>
      </c>
      <c r="B184" s="22" t="str">
        <f>J184&amp;(COUNTIF(J$2:J184,J184))</f>
        <v>Norfolk6</v>
      </c>
      <c r="C184" t="s">
        <v>113</v>
      </c>
      <c r="D184" t="s">
        <v>113</v>
      </c>
      <c r="E184" s="25" t="s">
        <v>368</v>
      </c>
      <c r="F184" s="25" t="s">
        <v>379</v>
      </c>
      <c r="G184" s="25" t="s">
        <v>5</v>
      </c>
      <c r="H184" s="26" t="s">
        <v>891</v>
      </c>
      <c r="I184" s="27" t="s">
        <v>380</v>
      </c>
      <c r="J184" t="s">
        <v>319</v>
      </c>
      <c r="K184" t="s">
        <v>335</v>
      </c>
    </row>
    <row r="185" spans="1:11" ht="14.4">
      <c r="A185" s="22" t="str">
        <f>F185&amp;(COUNTIFS(F$2:F185,F185,K$2:K185,"Sparse"))</f>
        <v>UA8</v>
      </c>
      <c r="B185" s="22" t="str">
        <f>J185&amp;(COUNTIF(J$2:J185,J185))</f>
        <v>Unitary32</v>
      </c>
      <c r="C185" t="s">
        <v>897</v>
      </c>
      <c r="D185" t="s">
        <v>897</v>
      </c>
      <c r="E185" s="25" t="s">
        <v>366</v>
      </c>
      <c r="F185" s="25" t="s">
        <v>385</v>
      </c>
      <c r="G185" s="25" t="s">
        <v>394</v>
      </c>
      <c r="H185" s="26" t="s">
        <v>892</v>
      </c>
      <c r="I185" s="27" t="s">
        <v>892</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892</v>
      </c>
      <c r="I186" s="27" t="s">
        <v>892</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SD22</v>
      </c>
      <c r="B188" s="22" t="str">
        <f>J188&amp;(COUNTIF(J$2:J188,J188))</f>
        <v>Warwickshire1</v>
      </c>
      <c r="C188" t="s">
        <v>114</v>
      </c>
      <c r="D188" t="s">
        <v>114</v>
      </c>
      <c r="E188" s="25" t="s">
        <v>367</v>
      </c>
      <c r="F188" s="25" t="s">
        <v>379</v>
      </c>
      <c r="G188" s="25" t="s">
        <v>5</v>
      </c>
      <c r="H188" s="26" t="s">
        <v>891</v>
      </c>
      <c r="I188" s="27" t="s">
        <v>380</v>
      </c>
      <c r="J188" s="3" t="s">
        <v>330</v>
      </c>
    </row>
    <row r="189" spans="1:11" ht="14.4">
      <c r="A189" s="22" t="str">
        <f>F189&amp;(COUNTIFS(F$2:F189,F189,K$2:K189,"Sparse"))</f>
        <v>SD22</v>
      </c>
      <c r="B189" s="22" t="str">
        <f>J189&amp;(COUNTIF(J$2:J189,J189))</f>
        <v>Leicestershire7</v>
      </c>
      <c r="C189" t="s">
        <v>115</v>
      </c>
      <c r="D189" t="s">
        <v>115</v>
      </c>
      <c r="E189" s="25" t="s">
        <v>366</v>
      </c>
      <c r="F189" s="25" t="s">
        <v>379</v>
      </c>
      <c r="G189" s="25" t="s">
        <v>5</v>
      </c>
      <c r="H189" s="26" t="s">
        <v>891</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891</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891</v>
      </c>
      <c r="I191" s="27" t="s">
        <v>380</v>
      </c>
      <c r="J191" t="s">
        <v>394</v>
      </c>
      <c r="K191" t="s">
        <v>335</v>
      </c>
    </row>
    <row r="192" spans="1:11" ht="14.4">
      <c r="A192" s="22" t="str">
        <f>F192&amp;(COUNTIFS(F$2:F192,F192,K$2:K192,"Sparse"))</f>
        <v>SD22</v>
      </c>
      <c r="B192" s="22" t="str">
        <f>J192&amp;(COUNTIF(J$2:J192,J192))</f>
        <v>Norfolk7</v>
      </c>
      <c r="C192" s="27" t="s">
        <v>117</v>
      </c>
      <c r="D192" s="27" t="s">
        <v>117</v>
      </c>
      <c r="E192" s="25" t="s">
        <v>368</v>
      </c>
      <c r="F192" s="25" t="s">
        <v>379</v>
      </c>
      <c r="G192" s="25" t="s">
        <v>5</v>
      </c>
      <c r="H192" s="27" t="s">
        <v>382</v>
      </c>
      <c r="I192" s="27" t="s">
        <v>382</v>
      </c>
      <c r="J192" t="s">
        <v>319</v>
      </c>
    </row>
    <row r="193" spans="1:10"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0" ht="14.4">
      <c r="A194" s="22" t="str">
        <f>F194&amp;(COUNTIFS(F$2:F194,F194,K$2:K194,"Sparse"))</f>
        <v>SC5</v>
      </c>
      <c r="B194" s="22" t="str">
        <f>J194&amp;(COUNTIF(J$2:J194,J194))</f>
        <v>Nottinghamshire7</v>
      </c>
      <c r="C194" s="27" t="s">
        <v>323</v>
      </c>
      <c r="D194" s="27" t="s">
        <v>323</v>
      </c>
      <c r="E194" s="25" t="s">
        <v>366</v>
      </c>
      <c r="F194" s="25" t="s">
        <v>387</v>
      </c>
      <c r="G194" s="25" t="s">
        <v>301</v>
      </c>
      <c r="H194" s="27" t="s">
        <v>892</v>
      </c>
      <c r="I194" s="27" t="s">
        <v>892</v>
      </c>
      <c r="J194" t="s">
        <v>323</v>
      </c>
    </row>
    <row r="195" spans="1:10" ht="14.4">
      <c r="A195" s="22" t="str">
        <f>F195&amp;(COUNTIFS(F$2:F195,F195,K$2:K195,"Sparse"))</f>
        <v>SD22</v>
      </c>
      <c r="B195" s="22" t="str">
        <f>J195&amp;(COUNTIF(J$2:J195,J195))</f>
        <v>Warwickshire2</v>
      </c>
      <c r="C195" t="s">
        <v>346</v>
      </c>
      <c r="D195" t="s">
        <v>346</v>
      </c>
      <c r="E195" s="25" t="s">
        <v>367</v>
      </c>
      <c r="F195" s="25" t="s">
        <v>379</v>
      </c>
      <c r="G195" s="25" t="s">
        <v>5</v>
      </c>
      <c r="H195" s="26" t="s">
        <v>382</v>
      </c>
      <c r="I195" s="27" t="s">
        <v>382</v>
      </c>
      <c r="J195" s="3" t="s">
        <v>330</v>
      </c>
    </row>
    <row r="196" spans="1:10" ht="14.4">
      <c r="A196" s="22" t="str">
        <f>F196&amp;(COUNTIFS(F$2:F196,F196,K$2:K196,"Sparse"))</f>
        <v>SD22</v>
      </c>
      <c r="B196" s="22" t="str">
        <f>J196&amp;(COUNTIF(J$2:J196,J196))</f>
        <v>Leicestershire8</v>
      </c>
      <c r="C196" t="s">
        <v>347</v>
      </c>
      <c r="D196" t="s">
        <v>347</v>
      </c>
      <c r="E196" s="25" t="s">
        <v>366</v>
      </c>
      <c r="F196" s="25" t="s">
        <v>379</v>
      </c>
      <c r="G196" s="25" t="s">
        <v>5</v>
      </c>
      <c r="H196" s="26" t="s">
        <v>382</v>
      </c>
      <c r="I196" s="27" t="s">
        <v>382</v>
      </c>
      <c r="J196" t="s">
        <v>317</v>
      </c>
    </row>
    <row r="197" spans="1:10"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0" ht="14.4">
      <c r="A198" s="22" t="str">
        <f>F198&amp;(COUNTIFS(F$2:F198,F198,K$2:K198,"Sparse"))</f>
        <v>SD22</v>
      </c>
      <c r="B198" s="22" t="str">
        <f>J198&amp;(COUNTIF(J$2:J198,J198))</f>
        <v>Oxfordshire2</v>
      </c>
      <c r="C198" s="27" t="s">
        <v>118</v>
      </c>
      <c r="D198" s="27" t="s">
        <v>118</v>
      </c>
      <c r="E198" s="25" t="s">
        <v>0</v>
      </c>
      <c r="F198" s="25" t="s">
        <v>379</v>
      </c>
      <c r="G198" s="25" t="s">
        <v>5</v>
      </c>
      <c r="H198" s="27" t="s">
        <v>382</v>
      </c>
      <c r="I198" s="27" t="s">
        <v>382</v>
      </c>
      <c r="J198" t="s">
        <v>324</v>
      </c>
    </row>
    <row r="199" spans="1:10" ht="14.4">
      <c r="A199" s="22" t="str">
        <f>F199&amp;(COUNTIFS(F$2:F199,F199,K$2:K199,"Sparse"))</f>
        <v>SC5</v>
      </c>
      <c r="B199" s="22" t="str">
        <f>J199&amp;(COUNTIF(J$2:J199,J199))</f>
        <v>Oxfordshire3</v>
      </c>
      <c r="C199" t="s">
        <v>324</v>
      </c>
      <c r="D199" t="s">
        <v>324</v>
      </c>
      <c r="E199" s="25" t="s">
        <v>0</v>
      </c>
      <c r="F199" s="25" t="s">
        <v>387</v>
      </c>
      <c r="G199" s="25" t="s">
        <v>301</v>
      </c>
      <c r="H199" s="26" t="s">
        <v>380</v>
      </c>
      <c r="I199" s="27" t="s">
        <v>380</v>
      </c>
      <c r="J199" t="s">
        <v>324</v>
      </c>
    </row>
    <row r="200" spans="1:10" ht="14.4">
      <c r="A200" s="22" t="str">
        <f>F200&amp;(COUNTIFS(F$2:F200,F200,K$2:K200,"Sparse"))</f>
        <v>SD22</v>
      </c>
      <c r="B200" s="22" t="str">
        <f>J200&amp;(COUNTIF(J$2:J200,J200))</f>
        <v>Lancashire7</v>
      </c>
      <c r="C200" t="s">
        <v>119</v>
      </c>
      <c r="D200" t="s">
        <v>119</v>
      </c>
      <c r="E200" s="25" t="s">
        <v>374</v>
      </c>
      <c r="F200" s="25" t="s">
        <v>379</v>
      </c>
      <c r="G200" s="25" t="s">
        <v>5</v>
      </c>
      <c r="H200" s="26" t="s">
        <v>382</v>
      </c>
      <c r="I200" s="27" t="s">
        <v>382</v>
      </c>
      <c r="J200" t="s">
        <v>316</v>
      </c>
    </row>
    <row r="201" spans="1:10"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0"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0"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0" ht="14.4">
      <c r="A204" s="22" t="str">
        <f>F204&amp;(COUNTIFS(F$2:F204,F204,K$2:K204,"Sparse"))</f>
        <v>SD22</v>
      </c>
      <c r="B204" s="22" t="str">
        <f>J204&amp;(COUNTIF(J$2:J204,J204))</f>
        <v>Lancashire8</v>
      </c>
      <c r="C204" t="s">
        <v>120</v>
      </c>
      <c r="D204" t="s">
        <v>120</v>
      </c>
      <c r="E204" s="25" t="s">
        <v>374</v>
      </c>
      <c r="F204" s="25" t="s">
        <v>379</v>
      </c>
      <c r="G204" s="25" t="s">
        <v>5</v>
      </c>
      <c r="H204" s="26" t="s">
        <v>382</v>
      </c>
      <c r="I204" s="27" t="s">
        <v>382</v>
      </c>
      <c r="J204" t="s">
        <v>316</v>
      </c>
    </row>
    <row r="205" spans="1:10"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0"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0" ht="14.4">
      <c r="A207" s="22" t="str">
        <f>F207&amp;(COUNTIFS(F$2:F207,F207,K$2:K207,"Sparse"))</f>
        <v>UA11</v>
      </c>
      <c r="B207" s="22" t="str">
        <f>J207&amp;(COUNTIF(J$2:J207,J207))</f>
        <v>Unitary41</v>
      </c>
      <c r="C207" t="s">
        <v>808</v>
      </c>
      <c r="D207" t="s">
        <v>808</v>
      </c>
      <c r="E207" s="25" t="s">
        <v>388</v>
      </c>
      <c r="F207" s="25" t="s">
        <v>385</v>
      </c>
      <c r="G207" s="25" t="s">
        <v>394</v>
      </c>
      <c r="H207" s="26" t="s">
        <v>892</v>
      </c>
      <c r="I207" s="27" t="s">
        <v>892</v>
      </c>
      <c r="J207" s="3" t="s">
        <v>394</v>
      </c>
    </row>
    <row r="208" spans="1:10" ht="14.4">
      <c r="A208" s="22" t="str">
        <f>F208&amp;(COUNTIFS(F$2:F208,F208,K$2:K208,"Sparse"))</f>
        <v>SD22</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SD22</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SD23</v>
      </c>
      <c r="B210" s="22" t="str">
        <f>J210&amp;(COUNTIF(J$2:J210,J210))</f>
        <v>Lancashire9</v>
      </c>
      <c r="C210" t="s">
        <v>123</v>
      </c>
      <c r="D210" t="s">
        <v>123</v>
      </c>
      <c r="E210" s="25" t="s">
        <v>374</v>
      </c>
      <c r="F210" s="25" t="s">
        <v>379</v>
      </c>
      <c r="G210" s="25" t="s">
        <v>5</v>
      </c>
      <c r="H210" s="26" t="s">
        <v>891</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SD23</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SD23</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SD24</v>
      </c>
      <c r="B215" s="22" t="str">
        <f>J215&amp;(COUNTIF(J$2:J215,J215))</f>
        <v>East Sussex5</v>
      </c>
      <c r="C215" t="s">
        <v>127</v>
      </c>
      <c r="D215" t="s">
        <v>127</v>
      </c>
      <c r="E215" s="25" t="s">
        <v>0</v>
      </c>
      <c r="F215" s="25" t="s">
        <v>379</v>
      </c>
      <c r="G215" s="25" t="s">
        <v>5</v>
      </c>
      <c r="H215" s="26" t="s">
        <v>891</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SD25</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SD25</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SD25</v>
      </c>
      <c r="B219" s="22" t="str">
        <f>J219&amp;(COUNTIF(J$2:J219,J219))</f>
        <v>Nottinghamshire8</v>
      </c>
      <c r="C219" t="s">
        <v>130</v>
      </c>
      <c r="D219" t="s">
        <v>130</v>
      </c>
      <c r="E219" s="25" t="s">
        <v>366</v>
      </c>
      <c r="F219" s="25" t="s">
        <v>379</v>
      </c>
      <c r="G219" s="25" t="s">
        <v>5</v>
      </c>
      <c r="H219" s="26" t="s">
        <v>891</v>
      </c>
      <c r="I219" s="27" t="s">
        <v>380</v>
      </c>
      <c r="J219" t="s">
        <v>323</v>
      </c>
    </row>
    <row r="220" spans="1:11" ht="14.4">
      <c r="A220" s="22" t="str">
        <f>F220&amp;(COUNTIFS(F$2:F220,F220,K$2:K220,"Sparse"))</f>
        <v>SD25</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891</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SD25</v>
      </c>
      <c r="B225" s="22" t="str">
        <f>J225&amp;(COUNTIF(J$2:J225,J225))</f>
        <v>Kent9</v>
      </c>
      <c r="C225" t="s">
        <v>136</v>
      </c>
      <c r="D225" t="s">
        <v>136</v>
      </c>
      <c r="E225" s="25" t="s">
        <v>0</v>
      </c>
      <c r="F225" s="25" t="s">
        <v>379</v>
      </c>
      <c r="G225" s="25" t="s">
        <v>5</v>
      </c>
      <c r="H225" s="26" t="s">
        <v>891</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891</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SD26</v>
      </c>
      <c r="B231" s="22" t="str">
        <f>J231&amp;(COUNTIF(J$2:J231,J231))</f>
        <v>Cambridgeshire6</v>
      </c>
      <c r="C231" t="s">
        <v>138</v>
      </c>
      <c r="D231" t="s">
        <v>138</v>
      </c>
      <c r="E231" s="25" t="s">
        <v>368</v>
      </c>
      <c r="F231" s="25" t="s">
        <v>379</v>
      </c>
      <c r="G231" s="25" t="s">
        <v>5</v>
      </c>
      <c r="H231" s="26" t="s">
        <v>891</v>
      </c>
      <c r="I231" s="27" t="s">
        <v>380</v>
      </c>
      <c r="J231" s="3" t="s">
        <v>302</v>
      </c>
      <c r="K231" t="s">
        <v>335</v>
      </c>
    </row>
    <row r="232" spans="1:11" ht="14.4">
      <c r="A232" s="22" t="str">
        <f>F232&amp;(COUNTIFS(F$2:F232,F232,K$2:K232,"Sparse"))</f>
        <v>SD26</v>
      </c>
      <c r="B232" s="22" t="str">
        <f>J232&amp;(COUNTIF(J$2:J232,J232))</f>
        <v>Derbyshire9</v>
      </c>
      <c r="C232" t="s">
        <v>139</v>
      </c>
      <c r="D232" t="s">
        <v>139</v>
      </c>
      <c r="E232" s="25" t="s">
        <v>366</v>
      </c>
      <c r="F232" s="25" t="s">
        <v>379</v>
      </c>
      <c r="G232" s="25" t="s">
        <v>5</v>
      </c>
      <c r="H232" s="26" t="s">
        <v>892</v>
      </c>
      <c r="I232" s="27" t="s">
        <v>892</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SD27</v>
      </c>
      <c r="B234" s="22" t="str">
        <f>J234&amp;(COUNTIF(J$2:J234,J234))</f>
        <v>Devon6</v>
      </c>
      <c r="C234" s="27" t="s">
        <v>140</v>
      </c>
      <c r="D234" s="27" t="s">
        <v>140</v>
      </c>
      <c r="E234" s="25" t="s">
        <v>1</v>
      </c>
      <c r="F234" s="25" t="s">
        <v>379</v>
      </c>
      <c r="G234" s="25" t="s">
        <v>5</v>
      </c>
      <c r="H234" s="27" t="s">
        <v>891</v>
      </c>
      <c r="I234" s="27" t="s">
        <v>380</v>
      </c>
      <c r="J234" t="s">
        <v>308</v>
      </c>
      <c r="K234" t="s">
        <v>335</v>
      </c>
    </row>
    <row r="235" spans="1:11" ht="14.4">
      <c r="A235" s="22" t="str">
        <f>F235&amp;(COUNTIFS(F$2:F235,F235,K$2:K235,"Sparse"))</f>
        <v>SD28</v>
      </c>
      <c r="B235" s="22" t="str">
        <f>J235&amp;(COUNTIF(J$2:J235,J235))</f>
        <v>Lincolnshire6</v>
      </c>
      <c r="C235" t="s">
        <v>141</v>
      </c>
      <c r="D235" t="s">
        <v>141</v>
      </c>
      <c r="E235" s="25" t="s">
        <v>366</v>
      </c>
      <c r="F235" s="25" t="s">
        <v>379</v>
      </c>
      <c r="G235" s="25" t="s">
        <v>5</v>
      </c>
      <c r="H235" s="26" t="s">
        <v>891</v>
      </c>
      <c r="I235" s="27" t="s">
        <v>380</v>
      </c>
      <c r="J235" t="s">
        <v>318</v>
      </c>
      <c r="K235" t="s">
        <v>335</v>
      </c>
    </row>
    <row r="236" spans="1:11" ht="14.4">
      <c r="A236" s="22" t="str">
        <f>F236&amp;(COUNTIFS(F$2:F236,F236,K$2:K236,"Sparse"))</f>
        <v>SD29</v>
      </c>
      <c r="B236" s="22" t="str">
        <f>J236&amp;(COUNTIF(J$2:J236,J236))</f>
        <v>Lincolnshire7</v>
      </c>
      <c r="C236" t="s">
        <v>142</v>
      </c>
      <c r="D236" t="s">
        <v>142</v>
      </c>
      <c r="E236" s="25" t="s">
        <v>366</v>
      </c>
      <c r="F236" s="25" t="s">
        <v>379</v>
      </c>
      <c r="G236" s="25" t="s">
        <v>5</v>
      </c>
      <c r="H236" s="26" t="s">
        <v>891</v>
      </c>
      <c r="I236" s="27" t="s">
        <v>380</v>
      </c>
      <c r="J236" t="s">
        <v>318</v>
      </c>
      <c r="K236" t="s">
        <v>335</v>
      </c>
    </row>
    <row r="237" spans="1:11" ht="14.4">
      <c r="A237" s="22" t="str">
        <f>F237&amp;(COUNTIFS(F$2:F237,F237,K$2:K237,"Sparse"))</f>
        <v>SD29</v>
      </c>
      <c r="B237" s="22" t="str">
        <f>J237&amp;(COUNTIF(J$2:J237,J237))</f>
        <v>Norfolk8</v>
      </c>
      <c r="C237" t="s">
        <v>144</v>
      </c>
      <c r="D237" t="s">
        <v>144</v>
      </c>
      <c r="E237" s="25" t="s">
        <v>368</v>
      </c>
      <c r="F237" s="25" t="s">
        <v>379</v>
      </c>
      <c r="G237" s="25" t="s">
        <v>5</v>
      </c>
      <c r="H237" s="26" t="s">
        <v>891</v>
      </c>
      <c r="I237" s="27" t="s">
        <v>380</v>
      </c>
      <c r="J237" s="3" t="s">
        <v>319</v>
      </c>
    </row>
    <row r="238" spans="1:11" ht="14.4">
      <c r="A238" s="22" t="str">
        <f>F238&amp;(COUNTIFS(F$2:F238,F238,K$2:K238,"Sparse"))</f>
        <v>SD30</v>
      </c>
      <c r="B238" s="22" t="str">
        <f>J238&amp;(COUNTIF(J$2:J238,J238))</f>
        <v>Oxfordshire4</v>
      </c>
      <c r="C238" t="s">
        <v>146</v>
      </c>
      <c r="D238" t="s">
        <v>146</v>
      </c>
      <c r="E238" s="25" t="s">
        <v>0</v>
      </c>
      <c r="F238" s="25" t="s">
        <v>379</v>
      </c>
      <c r="G238" s="25" t="s">
        <v>5</v>
      </c>
      <c r="H238" s="26" t="s">
        <v>891</v>
      </c>
      <c r="I238" s="27" t="s">
        <v>380</v>
      </c>
      <c r="J238" t="s">
        <v>324</v>
      </c>
      <c r="K238" t="s">
        <v>335</v>
      </c>
    </row>
    <row r="239" spans="1:11" ht="14.4">
      <c r="A239" s="22" t="str">
        <f>F239&amp;(COUNTIFS(F$2:F239,F239,K$2:K239,"Sparse"))</f>
        <v>SD30</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SD30</v>
      </c>
      <c r="B240" s="22" t="str">
        <f>J240&amp;(COUNTIF(J$2:J240,J240))</f>
        <v>Staffordshire5</v>
      </c>
      <c r="C240" t="s">
        <v>149</v>
      </c>
      <c r="D240" t="s">
        <v>149</v>
      </c>
      <c r="E240" s="25" t="s">
        <v>367</v>
      </c>
      <c r="F240" s="25" t="s">
        <v>379</v>
      </c>
      <c r="G240" s="25" t="s">
        <v>5</v>
      </c>
      <c r="H240" s="26" t="s">
        <v>892</v>
      </c>
      <c r="I240" s="27" t="s">
        <v>892</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SD30</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SD30</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SD31</v>
      </c>
      <c r="B248" s="22" t="str">
        <f>J248&amp;(COUNTIF(J$2:J248,J248))</f>
        <v>Staffordshire6</v>
      </c>
      <c r="C248" t="s">
        <v>153</v>
      </c>
      <c r="D248" t="s">
        <v>153</v>
      </c>
      <c r="E248" s="25" t="s">
        <v>367</v>
      </c>
      <c r="F248" s="25" t="s">
        <v>379</v>
      </c>
      <c r="G248" s="25" t="s">
        <v>5</v>
      </c>
      <c r="H248" s="26" t="s">
        <v>892</v>
      </c>
      <c r="I248" s="27" t="s">
        <v>892</v>
      </c>
      <c r="J248" s="3" t="s">
        <v>327</v>
      </c>
      <c r="K248" t="s">
        <v>335</v>
      </c>
    </row>
    <row r="249" spans="1:11" ht="14.4">
      <c r="A249" s="22" t="str">
        <f>F249&amp;(COUNTIFS(F$2:F249,F249,K$2:K249,"Sparse"))</f>
        <v>SC6</v>
      </c>
      <c r="B249" s="22" t="str">
        <f>J249&amp;(COUNTIF(J$2:J249,J249))</f>
        <v>Staffordshire7</v>
      </c>
      <c r="C249" t="s">
        <v>327</v>
      </c>
      <c r="D249" t="s">
        <v>327</v>
      </c>
      <c r="E249" s="25" t="s">
        <v>367</v>
      </c>
      <c r="F249" s="25" t="s">
        <v>387</v>
      </c>
      <c r="G249" s="25" t="s">
        <v>301</v>
      </c>
      <c r="H249" s="26" t="s">
        <v>892</v>
      </c>
      <c r="I249" s="27" t="s">
        <v>892</v>
      </c>
      <c r="J249" s="3" t="s">
        <v>327</v>
      </c>
      <c r="K249" t="s">
        <v>335</v>
      </c>
    </row>
    <row r="250" spans="1:11" ht="14.4">
      <c r="A250" s="22" t="str">
        <f>F250&amp;(COUNTIFS(F$2:F250,F250,K$2:K250,"Sparse"))</f>
        <v>SD31</v>
      </c>
      <c r="B250" s="22" t="str">
        <f>J250&amp;(COUNTIF(J$2:J250,J250))</f>
        <v>Staffordshire8</v>
      </c>
      <c r="C250" t="s">
        <v>154</v>
      </c>
      <c r="D250" t="s">
        <v>154</v>
      </c>
      <c r="E250" s="25" t="s">
        <v>367</v>
      </c>
      <c r="F250" s="25" t="s">
        <v>379</v>
      </c>
      <c r="G250" s="25" t="s">
        <v>5</v>
      </c>
      <c r="H250" s="26" t="s">
        <v>891</v>
      </c>
      <c r="I250" s="27" t="s">
        <v>380</v>
      </c>
      <c r="J250" t="s">
        <v>327</v>
      </c>
    </row>
    <row r="251" spans="1:11" ht="14.4">
      <c r="A251" s="22" t="str">
        <f>F251&amp;(COUNTIFS(F$2:F251,F251,K$2:K251,"Sparse"))</f>
        <v>SD31</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SD32</v>
      </c>
      <c r="B255" s="22" t="str">
        <f>J255&amp;(COUNTIF(J$2:J255,J255))</f>
        <v>Warwickshire4</v>
      </c>
      <c r="C255" s="27" t="s">
        <v>156</v>
      </c>
      <c r="D255" s="27" t="s">
        <v>156</v>
      </c>
      <c r="E255" s="25" t="s">
        <v>367</v>
      </c>
      <c r="F255" s="25" t="s">
        <v>379</v>
      </c>
      <c r="G255" s="25" t="s">
        <v>5</v>
      </c>
      <c r="H255" s="27" t="s">
        <v>891</v>
      </c>
      <c r="I255" s="27" t="s">
        <v>380</v>
      </c>
      <c r="J255" t="s">
        <v>330</v>
      </c>
      <c r="K255" t="s">
        <v>335</v>
      </c>
    </row>
    <row r="256" spans="1:11" ht="14.4">
      <c r="A256" s="22" t="str">
        <f>F256&amp;(COUNTIFS(F$2:F256,F256,K$2:K256,"Sparse"))</f>
        <v>SD33</v>
      </c>
      <c r="B256" s="22" t="str">
        <f>J256&amp;(COUNTIF(J$2:J256,J256))</f>
        <v>Gloucestershire6</v>
      </c>
      <c r="C256" t="s">
        <v>157</v>
      </c>
      <c r="D256" t="s">
        <v>157</v>
      </c>
      <c r="E256" s="25" t="s">
        <v>1</v>
      </c>
      <c r="F256" s="25" t="s">
        <v>379</v>
      </c>
      <c r="G256" s="25" t="s">
        <v>5</v>
      </c>
      <c r="H256" s="26" t="s">
        <v>892</v>
      </c>
      <c r="I256" s="27" t="s">
        <v>892</v>
      </c>
      <c r="J256" t="s">
        <v>312</v>
      </c>
      <c r="K256" t="s">
        <v>335</v>
      </c>
    </row>
    <row r="257" spans="1:11" ht="14.4">
      <c r="A257" s="22" t="str">
        <f>F257&amp;(COUNTIFS(F$2:F257,F257,K$2:K257,"Sparse"))</f>
        <v>SC7</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SC7</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SD33</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SD33</v>
      </c>
      <c r="B262" s="22" t="str">
        <f>J262&amp;(COUNTIF(J$2:J262,J262))</f>
        <v>Kent10</v>
      </c>
      <c r="C262" t="s">
        <v>160</v>
      </c>
      <c r="D262" t="s">
        <v>160</v>
      </c>
      <c r="E262" s="25" t="s">
        <v>0</v>
      </c>
      <c r="F262" s="25" t="s">
        <v>379</v>
      </c>
      <c r="G262" s="25" t="s">
        <v>5</v>
      </c>
      <c r="H262" s="26" t="s">
        <v>891</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SD33</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SD33</v>
      </c>
      <c r="B266" s="22" t="str">
        <f>J266&amp;(COUNTIF(J$2:J266,J266))</f>
        <v>Surrey10</v>
      </c>
      <c r="C266" t="s">
        <v>162</v>
      </c>
      <c r="D266" t="s">
        <v>162</v>
      </c>
      <c r="E266" s="25" t="s">
        <v>0</v>
      </c>
      <c r="F266" s="25" t="s">
        <v>379</v>
      </c>
      <c r="G266" s="25" t="s">
        <v>5</v>
      </c>
      <c r="H266" s="26" t="s">
        <v>892</v>
      </c>
      <c r="I266" s="27" t="s">
        <v>892</v>
      </c>
      <c r="J266" t="s">
        <v>329</v>
      </c>
    </row>
    <row r="267" spans="1:11" ht="14.4">
      <c r="A267" s="22" t="str">
        <f>F267&amp;(COUNTIFS(F$2:F267,F267,K$2:K267,"Sparse"))</f>
        <v>SD34</v>
      </c>
      <c r="B267" s="22" t="str">
        <f>J267&amp;(COUNTIF(J$2:J267,J267))</f>
        <v>Devon7</v>
      </c>
      <c r="C267" t="s">
        <v>164</v>
      </c>
      <c r="D267" t="s">
        <v>164</v>
      </c>
      <c r="E267" s="25" t="s">
        <v>1</v>
      </c>
      <c r="F267" s="25" t="s">
        <v>379</v>
      </c>
      <c r="G267" s="25" t="s">
        <v>5</v>
      </c>
      <c r="H267" s="26" t="s">
        <v>891</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SD34</v>
      </c>
      <c r="B269" s="22" t="str">
        <f>J269&amp;(COUNTIF(J$2:J269,J269))</f>
        <v>Essex12</v>
      </c>
      <c r="C269" t="s">
        <v>165</v>
      </c>
      <c r="D269" t="s">
        <v>165</v>
      </c>
      <c r="E269" s="25" t="s">
        <v>368</v>
      </c>
      <c r="F269" s="25" t="s">
        <v>379</v>
      </c>
      <c r="G269" s="25" t="s">
        <v>5</v>
      </c>
      <c r="H269" s="26" t="s">
        <v>891</v>
      </c>
      <c r="I269" s="27" t="s">
        <v>380</v>
      </c>
      <c r="J269" s="3" t="s">
        <v>311</v>
      </c>
    </row>
    <row r="270" spans="1:11" ht="14.4">
      <c r="A270" s="22" t="str">
        <f>F270&amp;(COUNTIFS(F$2:F270,F270,K$2:K270,"Sparse"))</f>
        <v>SD34</v>
      </c>
      <c r="B270" s="22" t="str">
        <f>J270&amp;(COUNTIF(J$2:J270,J270))</f>
        <v>Hampshire11</v>
      </c>
      <c r="C270" t="s">
        <v>166</v>
      </c>
      <c r="D270" t="s">
        <v>166</v>
      </c>
      <c r="E270" s="25" t="s">
        <v>0</v>
      </c>
      <c r="F270" s="25" t="s">
        <v>379</v>
      </c>
      <c r="G270" s="25" t="s">
        <v>5</v>
      </c>
      <c r="H270" s="26" t="s">
        <v>892</v>
      </c>
      <c r="I270" s="27" t="s">
        <v>892</v>
      </c>
      <c r="J270" t="s">
        <v>313</v>
      </c>
    </row>
    <row r="271" spans="1:11" ht="14.4">
      <c r="A271" s="22" t="str">
        <f>F271&amp;(COUNTIFS(F$2:F271,F271,K$2:K271,"Sparse"))</f>
        <v>SD35</v>
      </c>
      <c r="B271" s="22" t="str">
        <f>J271&amp;(COUNTIF(J$2:J271,J271))</f>
        <v>Gloucestershire7</v>
      </c>
      <c r="C271" t="s">
        <v>167</v>
      </c>
      <c r="D271" t="s">
        <v>167</v>
      </c>
      <c r="E271" s="25" t="s">
        <v>1</v>
      </c>
      <c r="F271" s="25" t="s">
        <v>379</v>
      </c>
      <c r="G271" s="25" t="s">
        <v>5</v>
      </c>
      <c r="H271" s="26" t="s">
        <v>891</v>
      </c>
      <c r="I271" s="27" t="s">
        <v>380</v>
      </c>
      <c r="J271" t="s">
        <v>312</v>
      </c>
      <c r="K271" t="s">
        <v>335</v>
      </c>
    </row>
    <row r="272" spans="1:11" ht="14.4">
      <c r="A272" s="22" t="str">
        <f>F272&amp;(COUNTIFS(F$2:F272,F272,K$2:K272,"Sparse"))</f>
        <v>SD35</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SD35</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SD35</v>
      </c>
      <c r="B275" s="22" t="str">
        <f>J275&amp;(COUNTIF(J$2:J275,J275))</f>
        <v>Kent12</v>
      </c>
      <c r="C275" t="s">
        <v>349</v>
      </c>
      <c r="D275" t="s">
        <v>349</v>
      </c>
      <c r="E275" s="25" t="s">
        <v>0</v>
      </c>
      <c r="F275" s="25" t="s">
        <v>379</v>
      </c>
      <c r="G275" s="25" t="s">
        <v>5</v>
      </c>
      <c r="H275" s="26" t="s">
        <v>892</v>
      </c>
      <c r="I275" s="27" t="s">
        <v>892</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SD36</v>
      </c>
      <c r="B277" s="22" t="str">
        <f>J277&amp;(COUNTIF(J$2:J277,J277))</f>
        <v>Devon8</v>
      </c>
      <c r="C277" t="s">
        <v>170</v>
      </c>
      <c r="D277" t="s">
        <v>170</v>
      </c>
      <c r="E277" s="25" t="s">
        <v>1</v>
      </c>
      <c r="F277" s="25" t="s">
        <v>379</v>
      </c>
      <c r="G277" s="25" t="s">
        <v>5</v>
      </c>
      <c r="H277" s="26" t="s">
        <v>891</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SD36</v>
      </c>
      <c r="B280" s="22" t="str">
        <f>J280&amp;(COUNTIF(J$2:J280,J280))</f>
        <v>Kent13</v>
      </c>
      <c r="C280" t="s">
        <v>171</v>
      </c>
      <c r="D280" t="s">
        <v>171</v>
      </c>
      <c r="E280" s="25" t="s">
        <v>0</v>
      </c>
      <c r="F280" s="25" t="s">
        <v>379</v>
      </c>
      <c r="G280" s="25" t="s">
        <v>5</v>
      </c>
      <c r="H280" s="26" t="s">
        <v>892</v>
      </c>
      <c r="I280" s="27" t="s">
        <v>892</v>
      </c>
      <c r="J280" s="3" t="s">
        <v>315</v>
      </c>
    </row>
    <row r="281" spans="1:11" ht="14.4">
      <c r="A281" s="22" t="str">
        <f>F281&amp;(COUNTIFS(F$2:F281,F281,K$2:K281,"Sparse"))</f>
        <v>SD37</v>
      </c>
      <c r="B281" s="22" t="str">
        <f>J281&amp;(COUNTIF(J$2:J281,J281))</f>
        <v>Essex13</v>
      </c>
      <c r="C281" t="s">
        <v>172</v>
      </c>
      <c r="D281" t="s">
        <v>172</v>
      </c>
      <c r="E281" s="25" t="s">
        <v>368</v>
      </c>
      <c r="F281" s="25" t="s">
        <v>379</v>
      </c>
      <c r="G281" s="25" t="s">
        <v>5</v>
      </c>
      <c r="H281" s="26" t="s">
        <v>891</v>
      </c>
      <c r="I281" s="27" t="s">
        <v>380</v>
      </c>
      <c r="J281" t="s">
        <v>311</v>
      </c>
      <c r="K281" t="s">
        <v>335</v>
      </c>
    </row>
    <row r="282" spans="1:11" ht="14.4">
      <c r="A282" s="22" t="str">
        <f>F282&amp;(COUNTIFS(F$2:F282,F282,K$2:K282,"Sparse"))</f>
        <v>SD38</v>
      </c>
      <c r="B282" s="22" t="str">
        <f>J282&amp;(COUNTIF(J$2:J282,J282))</f>
        <v>Oxfordshire5</v>
      </c>
      <c r="C282" t="s">
        <v>173</v>
      </c>
      <c r="D282" t="s">
        <v>173</v>
      </c>
      <c r="E282" s="25" t="s">
        <v>0</v>
      </c>
      <c r="F282" s="25" t="s">
        <v>379</v>
      </c>
      <c r="G282" s="25" t="s">
        <v>5</v>
      </c>
      <c r="H282" s="26" t="s">
        <v>891</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SD38</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SC7</v>
      </c>
      <c r="B289" s="22" t="str">
        <f>J289&amp;(COUNTIF(J$2:J289,J289))</f>
        <v>Warwickshire6</v>
      </c>
      <c r="C289" t="s">
        <v>330</v>
      </c>
      <c r="D289" t="s">
        <v>330</v>
      </c>
      <c r="E289" s="25" t="s">
        <v>367</v>
      </c>
      <c r="F289" s="25" t="s">
        <v>387</v>
      </c>
      <c r="G289" s="25" t="s">
        <v>301</v>
      </c>
      <c r="H289" s="26" t="s">
        <v>892</v>
      </c>
      <c r="I289" s="27" t="s">
        <v>892</v>
      </c>
      <c r="J289" t="s">
        <v>330</v>
      </c>
    </row>
    <row r="290" spans="1:11" ht="14.4">
      <c r="A290" s="22" t="str">
        <f>F290&amp;(COUNTIFS(F$2:F290,F290,K$2:K290,"Sparse"))</f>
        <v>SD38</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SD38</v>
      </c>
      <c r="B291" s="22" t="str">
        <f>J291&amp;(COUNTIF(J$2:J291,J291))</f>
        <v>Surrey11</v>
      </c>
      <c r="C291" t="s">
        <v>177</v>
      </c>
      <c r="D291" t="s">
        <v>177</v>
      </c>
      <c r="E291" s="25" t="s">
        <v>0</v>
      </c>
      <c r="F291" s="25" t="s">
        <v>379</v>
      </c>
      <c r="G291" s="25" t="s">
        <v>5</v>
      </c>
      <c r="H291" s="26" t="s">
        <v>891</v>
      </c>
      <c r="I291" s="27" t="s">
        <v>380</v>
      </c>
      <c r="J291" t="s">
        <v>329</v>
      </c>
    </row>
    <row r="292" spans="1:11" ht="14.4">
      <c r="A292" s="22" t="str">
        <f>F292&amp;(COUNTIFS(F$2:F292,F292,K$2:K292,"Sparse"))</f>
        <v>SD39</v>
      </c>
      <c r="B292" s="22" t="str">
        <f>J292&amp;(COUNTIF(J$2:J292,J292))</f>
        <v>East Sussex6</v>
      </c>
      <c r="C292" t="s">
        <v>178</v>
      </c>
      <c r="D292" t="s">
        <v>178</v>
      </c>
      <c r="E292" s="25" t="s">
        <v>0</v>
      </c>
      <c r="F292" s="25" t="s">
        <v>379</v>
      </c>
      <c r="G292" s="25" t="s">
        <v>5</v>
      </c>
      <c r="H292" s="26" t="s">
        <v>891</v>
      </c>
      <c r="I292" s="27" t="s">
        <v>380</v>
      </c>
      <c r="J292" t="s">
        <v>310</v>
      </c>
      <c r="K292" t="s">
        <v>335</v>
      </c>
    </row>
    <row r="293" spans="1:11" ht="14.4">
      <c r="A293" s="22" t="str">
        <f>F293&amp;(COUNTIFS(F$2:F293,F293,K$2:K293,"Sparse"))</f>
        <v>SD39</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892</v>
      </c>
      <c r="I294" s="27" t="s">
        <v>892</v>
      </c>
      <c r="J294" t="s">
        <v>394</v>
      </c>
    </row>
    <row r="295" spans="1:11" ht="14.4">
      <c r="A295" s="22" t="str">
        <f>F295&amp;(COUNTIFS(F$2:F295,F295,K$2:K295,"Sparse"))</f>
        <v>SD40</v>
      </c>
      <c r="B295" s="22" t="str">
        <f>J295&amp;(COUNTIF(J$2:J295,J295))</f>
        <v>Devon9</v>
      </c>
      <c r="C295" s="27" t="s">
        <v>181</v>
      </c>
      <c r="D295" s="27" t="s">
        <v>181</v>
      </c>
      <c r="E295" s="25" t="s">
        <v>1</v>
      </c>
      <c r="F295" s="25" t="s">
        <v>379</v>
      </c>
      <c r="G295" s="25" t="s">
        <v>5</v>
      </c>
      <c r="H295" s="27" t="s">
        <v>891</v>
      </c>
      <c r="I295" s="27" t="s">
        <v>380</v>
      </c>
      <c r="J295" t="s">
        <v>308</v>
      </c>
      <c r="K295" t="s">
        <v>335</v>
      </c>
    </row>
    <row r="296" spans="1:11" ht="14.4">
      <c r="A296" s="22" t="str">
        <f>F296&amp;(COUNTIFS(F$2:F296,F296,K$2:K296,"Sparse"))</f>
        <v>SD40</v>
      </c>
      <c r="B296" s="22" t="str">
        <f>J296&amp;(COUNTIF(J$2:J296,J296))</f>
        <v>Lancashire12</v>
      </c>
      <c r="C296" t="s">
        <v>183</v>
      </c>
      <c r="D296" t="s">
        <v>183</v>
      </c>
      <c r="E296" s="25" t="s">
        <v>374</v>
      </c>
      <c r="F296" s="25" t="s">
        <v>379</v>
      </c>
      <c r="G296" s="25" t="s">
        <v>5</v>
      </c>
      <c r="H296" s="26" t="s">
        <v>892</v>
      </c>
      <c r="I296" s="27" t="s">
        <v>892</v>
      </c>
      <c r="J296" t="s">
        <v>316</v>
      </c>
    </row>
    <row r="297" spans="1:11" ht="14.4">
      <c r="A297" s="22" t="str">
        <f>F297&amp;(COUNTIFS(F$2:F297,F297,K$2:K297,"Sparse"))</f>
        <v>SD41</v>
      </c>
      <c r="B297" s="22" t="str">
        <f>J297&amp;(COUNTIF(J$2:J297,J297))</f>
        <v>Lincolnshire8</v>
      </c>
      <c r="C297" t="s">
        <v>184</v>
      </c>
      <c r="D297" t="s">
        <v>184</v>
      </c>
      <c r="E297" s="25" t="s">
        <v>366</v>
      </c>
      <c r="F297" s="25" t="s">
        <v>379</v>
      </c>
      <c r="G297" s="25" t="s">
        <v>5</v>
      </c>
      <c r="H297" s="26" t="s">
        <v>891</v>
      </c>
      <c r="I297" s="27" t="s">
        <v>380</v>
      </c>
      <c r="J297" t="s">
        <v>318</v>
      </c>
      <c r="K297" t="s">
        <v>335</v>
      </c>
    </row>
    <row r="298" spans="1:11" ht="14.4">
      <c r="A298" s="22" t="str">
        <f>F298&amp;(COUNTIFS(F$2:F298,F298,K$2:K298,"Sparse"))</f>
        <v>UA14</v>
      </c>
      <c r="B298" s="22" t="str">
        <f>J298&amp;(COUNTIF(J$2:J298,J298))</f>
        <v>Unitary57</v>
      </c>
      <c r="C298" t="s">
        <v>898</v>
      </c>
      <c r="D298" t="s">
        <v>898</v>
      </c>
      <c r="E298" s="25" t="s">
        <v>366</v>
      </c>
      <c r="F298" s="25" t="s">
        <v>385</v>
      </c>
      <c r="G298" s="25" t="s">
        <v>394</v>
      </c>
      <c r="H298" s="26" t="s">
        <v>892</v>
      </c>
      <c r="I298" s="27" t="s">
        <v>892</v>
      </c>
      <c r="J298" t="s">
        <v>394</v>
      </c>
      <c r="K298" t="s">
        <v>335</v>
      </c>
    </row>
    <row r="299" spans="1:11" ht="14.4">
      <c r="A299" s="22" t="str">
        <f>F299&amp;(COUNTIFS(F$2:F299,F299,K$2:K299,"Sparse"))</f>
        <v>SD42</v>
      </c>
      <c r="B299" s="22" t="str">
        <f>J299&amp;(COUNTIF(J$2:J299,J299))</f>
        <v>Oxfordshire6</v>
      </c>
      <c r="C299" t="s">
        <v>185</v>
      </c>
      <c r="D299" t="s">
        <v>185</v>
      </c>
      <c r="E299" s="25" t="s">
        <v>0</v>
      </c>
      <c r="F299" s="25" t="s">
        <v>379</v>
      </c>
      <c r="G299" s="25" t="s">
        <v>5</v>
      </c>
      <c r="H299" s="26" t="s">
        <v>891</v>
      </c>
      <c r="I299" s="27" t="s">
        <v>380</v>
      </c>
      <c r="J299" t="s">
        <v>324</v>
      </c>
      <c r="K299" t="s">
        <v>335</v>
      </c>
    </row>
    <row r="300" spans="1:11" ht="14.4">
      <c r="A300" s="22" t="str">
        <f>F300&amp;(COUNTIFS(F$2:F300,F300,K$2:K300,"Sparse"))</f>
        <v>SD43</v>
      </c>
      <c r="B300" s="22" t="str">
        <f>J300&amp;(COUNTIF(J$2:J300,J300))</f>
        <v>Suffolk6</v>
      </c>
      <c r="C300" t="s">
        <v>895</v>
      </c>
      <c r="D300" t="s">
        <v>895</v>
      </c>
      <c r="E300" s="25" t="s">
        <v>368</v>
      </c>
      <c r="F300" s="25" t="s">
        <v>379</v>
      </c>
      <c r="G300" s="25" t="s">
        <v>5</v>
      </c>
      <c r="H300" s="26" t="s">
        <v>891</v>
      </c>
      <c r="I300" s="27" t="s">
        <v>380</v>
      </c>
      <c r="J300" t="s">
        <v>328</v>
      </c>
      <c r="K300" t="s">
        <v>335</v>
      </c>
    </row>
    <row r="301" spans="1:11" ht="14.4">
      <c r="A301" s="22" t="str">
        <f>F301&amp;(COUNTIFS(F$2:F301,F301,K$2:K301,"Sparse"))</f>
        <v>SC7</v>
      </c>
      <c r="B301" s="22" t="str">
        <f>J301&amp;(COUNTIF(J$2:J301,J301))</f>
        <v>West Sussex7</v>
      </c>
      <c r="C301" t="s">
        <v>331</v>
      </c>
      <c r="D301" t="s">
        <v>331</v>
      </c>
      <c r="E301" s="25" t="s">
        <v>0</v>
      </c>
      <c r="F301" s="25" t="s">
        <v>387</v>
      </c>
      <c r="G301" s="25" t="s">
        <v>301</v>
      </c>
      <c r="H301" s="26" t="s">
        <v>892</v>
      </c>
      <c r="I301" s="27" t="s">
        <v>892</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900</v>
      </c>
      <c r="D303" t="s">
        <v>900</v>
      </c>
      <c r="E303" s="25" t="s">
        <v>374</v>
      </c>
      <c r="F303" s="25" t="s">
        <v>385</v>
      </c>
      <c r="G303" s="25" t="s">
        <v>394</v>
      </c>
      <c r="H303" s="26" t="s">
        <v>891</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7" t="s">
        <v>858</v>
      </c>
      <c r="G20" s="327"/>
      <c r="H20" s="180" t="s">
        <v>799</v>
      </c>
      <c r="I20" s="181" t="s">
        <v>791</v>
      </c>
    </row>
    <row r="21" spans="1:11">
      <c r="C21" s="178"/>
      <c r="E21" s="193" t="s">
        <v>849</v>
      </c>
      <c r="F21" s="327"/>
      <c r="G21" s="327"/>
      <c r="H21" s="7" t="s">
        <v>811</v>
      </c>
      <c r="I21" s="9" t="s">
        <v>822</v>
      </c>
    </row>
    <row r="22" spans="1:11" ht="36">
      <c r="C22" s="178"/>
      <c r="E22" s="194" t="s">
        <v>850</v>
      </c>
      <c r="F22" s="327"/>
      <c r="G22" s="327"/>
    </row>
    <row r="23" spans="1:11">
      <c r="C23" s="178"/>
      <c r="E23" s="195">
        <v>87</v>
      </c>
      <c r="F23" s="327"/>
      <c r="G23" s="327"/>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645D45-77F2-4FC3-A188-D3A568CB8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2024-10-04T15:21:18Z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