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30224/"/>
    </mc:Choice>
  </mc:AlternateContent>
  <xr:revisionPtr revIDLastSave="64" documentId="8_{367593E4-02BC-44E7-9B11-FB451B715399}" xr6:coauthVersionLast="47" xr6:coauthVersionMax="47" xr10:uidLastSave="{9FCB497E-DFBA-4DB6-93F8-81143C927A3F}"/>
  <workbookProtection workbookAlgorithmName="SHA-512" workbookHashValue="SX7wruRHTDMJb3QfFCdzVfipvzwOfrp7je0YmT6wHEYCCu79Tjl9MGPRXUytqjRg1gXPOUnT9KJtSAwpKNuwOQ==" workbookSaltValue="CQrEefCeOsrRiiLhP9wUs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F200" i="16" s="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62" i="16"/>
  <c r="F129"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F143" i="16" l="1"/>
  <c r="H161" i="16"/>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H13" i="16"/>
  <c r="F34" i="16"/>
  <c r="AG11" i="16" s="1"/>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M12" i="16"/>
  <c r="N12" i="16" s="1"/>
  <c r="X12" i="16"/>
  <c r="AI12" i="16"/>
  <c r="AJ12" i="16" s="1"/>
  <c r="T12" i="16"/>
  <c r="U12" i="16" s="1"/>
  <c r="V12" i="16" s="1"/>
  <c r="K15" i="16"/>
  <c r="L14" i="16"/>
  <c r="S13" i="16"/>
  <c r="T13" i="16"/>
  <c r="AI13" i="16"/>
  <c r="X13" i="16"/>
  <c r="M13" i="16"/>
  <c r="N13" i="16" s="1"/>
  <c r="AA13" i="16"/>
  <c r="AP13" i="16"/>
  <c r="X11" i="16"/>
  <c r="E66" i="8"/>
  <c r="Y66" i="8" s="1"/>
  <c r="T11" i="16"/>
  <c r="AI11" i="16"/>
  <c r="S11" i="16"/>
  <c r="AP11" i="16"/>
  <c r="M11" i="16"/>
  <c r="U66" i="8" s="1"/>
  <c r="Y12" i="16" l="1"/>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Y59" i="16" l="1"/>
  <c r="AB59" i="16"/>
  <c r="AQ59" i="16"/>
  <c r="AJ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J68" i="16" l="1"/>
  <c r="AQ68" i="16"/>
  <c r="Y68" i="16"/>
  <c r="U68" i="16"/>
  <c r="AB68" i="16"/>
  <c r="K71" i="16"/>
  <c r="L70" i="16"/>
  <c r="M69" i="16"/>
  <c r="N69" i="16" s="1"/>
  <c r="AP69" i="16"/>
  <c r="S69" i="16"/>
  <c r="T69" i="16"/>
  <c r="AA69" i="16"/>
  <c r="AI69" i="16"/>
  <c r="X69" i="16"/>
  <c r="AJ69" i="16" l="1"/>
  <c r="AQ69" i="16"/>
  <c r="Y69" i="16"/>
  <c r="U69" i="16"/>
  <c r="AB69" i="16"/>
  <c r="T70" i="16"/>
  <c r="AI70" i="16"/>
  <c r="AJ70" i="16" s="1"/>
  <c r="AK70" i="16" s="1"/>
  <c r="X70" i="16"/>
  <c r="M70" i="16"/>
  <c r="N70" i="16" s="1"/>
  <c r="AP70" i="16"/>
  <c r="AA70" i="16"/>
  <c r="S70" i="16"/>
  <c r="L71" i="16"/>
  <c r="K72" i="16"/>
  <c r="AB70" i="16" l="1"/>
  <c r="Y70" i="16"/>
  <c r="U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AI73" i="16"/>
  <c r="AJ73" i="16" s="1"/>
  <c r="AK73" i="16" s="1"/>
  <c r="M73" i="16"/>
  <c r="N73" i="16" s="1"/>
  <c r="S73" i="16"/>
  <c r="X73" i="16"/>
  <c r="AA73" i="16"/>
  <c r="AP73" i="16"/>
  <c r="L74" i="16"/>
  <c r="K75" i="16"/>
  <c r="U73" i="16" l="1"/>
  <c r="AQ73" i="16"/>
  <c r="AB73" i="16"/>
  <c r="Y73" i="16"/>
  <c r="L75" i="16"/>
  <c r="K76" i="16"/>
  <c r="AI74" i="16"/>
  <c r="S74" i="16"/>
  <c r="T74" i="16"/>
  <c r="X74" i="16"/>
  <c r="AP74" i="16"/>
  <c r="M74" i="16"/>
  <c r="N74" i="16" s="1"/>
  <c r="AA74" i="16"/>
  <c r="AJ74" i="16" l="1"/>
  <c r="AQ74" i="16"/>
  <c r="AB74" i="16"/>
  <c r="Y74" i="16"/>
  <c r="U74" i="16"/>
  <c r="K77" i="16"/>
  <c r="L76" i="16"/>
  <c r="M75" i="16"/>
  <c r="N75" i="16" s="1"/>
  <c r="T75" i="16"/>
  <c r="AI75" i="16"/>
  <c r="S75" i="16"/>
  <c r="X75" i="16"/>
  <c r="AA75" i="16"/>
  <c r="AP75" i="16"/>
  <c r="AJ75" i="16" l="1"/>
  <c r="AQ75" i="16"/>
  <c r="AB75" i="16"/>
  <c r="Y75" i="16"/>
  <c r="U75" i="16"/>
  <c r="T76" i="16"/>
  <c r="AI76" i="16"/>
  <c r="AJ76" i="16" s="1"/>
  <c r="AK76" i="16" s="1"/>
  <c r="M76" i="16"/>
  <c r="N76" i="16" s="1"/>
  <c r="AA76" i="16"/>
  <c r="AP76" i="16"/>
  <c r="S76" i="16"/>
  <c r="X76" i="16"/>
  <c r="L77" i="16"/>
  <c r="K78" i="16"/>
  <c r="Y76" i="16" l="1"/>
  <c r="AQ76" i="16"/>
  <c r="AB76" i="16"/>
  <c r="U76" i="16"/>
  <c r="L78" i="16"/>
  <c r="K79" i="16"/>
  <c r="AI77" i="16"/>
  <c r="S77" i="16"/>
  <c r="T77" i="16"/>
  <c r="M77" i="16"/>
  <c r="N77" i="16" s="1"/>
  <c r="AP77" i="16"/>
  <c r="X77" i="16"/>
  <c r="AA77" i="16"/>
  <c r="AJ77" i="16" l="1"/>
  <c r="AQ77" i="16"/>
  <c r="L79" i="16"/>
  <c r="K80" i="16"/>
  <c r="T78" i="16"/>
  <c r="AP78" i="16"/>
  <c r="AA78" i="16"/>
  <c r="M78" i="16"/>
  <c r="N78" i="16" s="1"/>
  <c r="S78" i="16"/>
  <c r="X78" i="16"/>
  <c r="AI78" i="16"/>
  <c r="Y77" i="16"/>
  <c r="AB77" i="16"/>
  <c r="U77" i="16"/>
  <c r="AK21" i="16"/>
  <c r="AK14" i="16"/>
  <c r="AK51" i="16"/>
  <c r="AK54" i="16"/>
  <c r="AK38" i="16"/>
  <c r="AC11" i="16"/>
  <c r="Z11" i="16"/>
  <c r="V11" i="16"/>
  <c r="AK15" i="16"/>
  <c r="AJ78" i="16" l="1"/>
  <c r="AQ78" i="16"/>
  <c r="U78" i="16"/>
  <c r="Y78" i="16"/>
  <c r="AB78" i="16"/>
  <c r="L80" i="16"/>
  <c r="K81" i="16"/>
  <c r="T79" i="16"/>
  <c r="U79" i="16" s="1"/>
  <c r="V79" i="16" s="1"/>
  <c r="M79" i="16"/>
  <c r="N79" i="16" s="1"/>
  <c r="AI79" i="16"/>
  <c r="S79" i="16"/>
  <c r="X79" i="16"/>
  <c r="AA79" i="16"/>
  <c r="AP79" i="16"/>
  <c r="AK40" i="16"/>
  <c r="AK18" i="16"/>
  <c r="V18" i="16"/>
  <c r="AK11" i="16"/>
  <c r="AK26" i="16"/>
  <c r="AK17" i="16"/>
  <c r="AK23" i="16"/>
  <c r="Y79" i="16" l="1"/>
  <c r="AB79" i="16"/>
  <c r="AJ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l="1"/>
  <c r="AQ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A91" i="16"/>
  <c r="AP91" i="16"/>
  <c r="X91" i="16"/>
  <c r="M91" i="16"/>
  <c r="N91" i="16" s="1"/>
  <c r="AJ91" i="16" l="1"/>
  <c r="AQ91" i="16"/>
  <c r="AB91" i="16"/>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AJ94" i="16" l="1"/>
  <c r="U94" i="16"/>
  <c r="AQ94" i="16"/>
  <c r="AB94" i="16"/>
  <c r="AP95" i="16"/>
  <c r="X95" i="16"/>
  <c r="M95" i="16"/>
  <c r="N95" i="16" s="1"/>
  <c r="AI95" i="16"/>
  <c r="S95" i="16"/>
  <c r="T95" i="16"/>
  <c r="AA95" i="16"/>
  <c r="L96" i="16"/>
  <c r="K97" i="16"/>
  <c r="Y94" i="16"/>
  <c r="AJ95" i="16" l="1"/>
  <c r="AQ95" i="16"/>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J99" i="16" s="1"/>
  <c r="AP99" i="16"/>
  <c r="S99" i="16"/>
  <c r="K101" i="16"/>
  <c r="L100" i="16"/>
  <c r="AQ99" i="16" l="1"/>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M115" i="16"/>
  <c r="N115" i="16" s="1"/>
  <c r="AP115" i="16"/>
  <c r="U115" i="16" l="1"/>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T122" i="16"/>
  <c r="X122" i="16"/>
  <c r="AA122" i="16"/>
  <c r="K124" i="16"/>
  <c r="L123" i="16"/>
  <c r="Y122" i="16" l="1"/>
  <c r="AJ122" i="16"/>
  <c r="AB122" i="16"/>
  <c r="U122" i="16"/>
  <c r="AQ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Q124" i="16" l="1"/>
  <c r="AB124" i="16"/>
  <c r="Y124" i="16"/>
  <c r="S125" i="16"/>
  <c r="M125" i="16"/>
  <c r="N125" i="16" s="1"/>
  <c r="AP125" i="16"/>
  <c r="T125" i="16"/>
  <c r="X125" i="16"/>
  <c r="AA125" i="16"/>
  <c r="AI125" i="16"/>
  <c r="K127" i="16"/>
  <c r="L126" i="16"/>
  <c r="U124" i="16"/>
  <c r="AJ125" i="16" l="1"/>
  <c r="U125" i="16"/>
  <c r="AQ125" i="16"/>
  <c r="AB125" i="16"/>
  <c r="Y125" i="16"/>
  <c r="AI126" i="16"/>
  <c r="X126" i="16"/>
  <c r="AP126" i="16"/>
  <c r="AA126" i="16"/>
  <c r="T126" i="16"/>
  <c r="M126" i="16"/>
  <c r="N126" i="16" s="1"/>
  <c r="S126" i="16"/>
  <c r="K128" i="16"/>
  <c r="L127" i="16"/>
  <c r="AJ126" i="16" l="1"/>
  <c r="AQ126" i="16"/>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AJ128" i="16" s="1"/>
  <c r="AK128" i="16" s="1"/>
  <c r="S128" i="16"/>
  <c r="T128" i="16"/>
  <c r="K130" i="16"/>
  <c r="L129" i="16"/>
  <c r="AQ128" i="16" l="1"/>
  <c r="U128" i="16"/>
  <c r="AB128" i="16"/>
  <c r="Y128" i="16"/>
  <c r="AI129" i="16"/>
  <c r="X129" i="16"/>
  <c r="S129" i="16"/>
  <c r="AP129" i="16"/>
  <c r="M129" i="16"/>
  <c r="N129" i="16" s="1"/>
  <c r="T129" i="16"/>
  <c r="AA129" i="16"/>
  <c r="K131" i="16"/>
  <c r="L130" i="16"/>
  <c r="AJ129" i="16" l="1"/>
  <c r="U129" i="16"/>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AJ131" i="16" s="1"/>
  <c r="AK131" i="16" s="1"/>
  <c r="X131" i="16"/>
  <c r="T131" i="16"/>
  <c r="AA131" i="16"/>
  <c r="K133" i="16"/>
  <c r="L132" i="16"/>
  <c r="AQ131" i="16" l="1"/>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L152" i="16"/>
  <c r="K153" i="16"/>
  <c r="AJ151" i="16" l="1"/>
  <c r="AQ151" i="16"/>
  <c r="Y151" i="16"/>
  <c r="AB151" i="16"/>
  <c r="U151" i="16"/>
  <c r="K154" i="16"/>
  <c r="L153" i="16"/>
  <c r="X152" i="16"/>
  <c r="M152" i="16"/>
  <c r="N152" i="16" s="1"/>
  <c r="S152" i="16"/>
  <c r="T152" i="16"/>
  <c r="AI152" i="16"/>
  <c r="AJ152" i="16" s="1"/>
  <c r="AK152" i="16" s="1"/>
  <c r="AP152" i="16"/>
  <c r="AA152" i="16"/>
  <c r="AQ152" i="16" l="1"/>
  <c r="AB152" i="16"/>
  <c r="Y152" i="16"/>
  <c r="U152" i="16"/>
  <c r="L154" i="16"/>
  <c r="K155" i="16"/>
  <c r="AI153" i="16"/>
  <c r="AP153" i="16"/>
  <c r="M153" i="16"/>
  <c r="N153" i="16" s="1"/>
  <c r="S153" i="16"/>
  <c r="T153" i="16"/>
  <c r="U153" i="16" s="1"/>
  <c r="X153" i="16"/>
  <c r="AA153" i="16"/>
  <c r="Y153" i="16" l="1"/>
  <c r="AB153" i="16"/>
  <c r="AJ153" i="16"/>
  <c r="AQ153" i="16"/>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P155" i="16"/>
  <c r="X155" i="16"/>
  <c r="AA155" i="16"/>
  <c r="AJ155" i="16" l="1"/>
  <c r="U155" i="16"/>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AJ157" i="16" l="1"/>
  <c r="U157" i="16"/>
  <c r="AQ157" i="16"/>
  <c r="AB157" i="16"/>
  <c r="Y157" i="16"/>
  <c r="M158" i="16"/>
  <c r="N158" i="16" s="1"/>
  <c r="S158" i="16"/>
  <c r="T158" i="16"/>
  <c r="AI158" i="16"/>
  <c r="AJ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l="1"/>
  <c r="Y164" i="16"/>
  <c r="AB164" i="16"/>
  <c r="U164" i="16"/>
  <c r="AQ164" i="16"/>
  <c r="M165" i="16"/>
  <c r="N165" i="16" s="1"/>
  <c r="AA165" i="16"/>
  <c r="AP165" i="16"/>
  <c r="T165" i="16"/>
  <c r="X165" i="16"/>
  <c r="AI165" i="16"/>
  <c r="S165" i="16"/>
  <c r="L166" i="16"/>
  <c r="K167" i="16"/>
  <c r="AJ165" i="16" l="1"/>
  <c r="AQ165" i="16"/>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S169" i="16"/>
  <c r="T169" i="16"/>
  <c r="X169" i="16"/>
  <c r="AP169" i="16"/>
  <c r="AA169" i="16"/>
  <c r="M169" i="16"/>
  <c r="N169" i="16" s="1"/>
  <c r="AQ169" i="16" l="1"/>
  <c r="AJ169" i="16"/>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S174" i="16"/>
  <c r="AP174" i="16"/>
  <c r="AA174" i="16"/>
  <c r="AQ173" i="16"/>
  <c r="AJ173" i="16"/>
  <c r="Y173" i="16"/>
  <c r="AJ174" i="16" l="1"/>
  <c r="AQ174" i="16"/>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AK99" i="16" s="1"/>
  <c r="T327" i="16"/>
  <c r="U327" i="16" s="1"/>
  <c r="M327" i="16"/>
  <c r="S327" i="16"/>
  <c r="X327" i="16"/>
  <c r="Y327" i="16" s="1"/>
  <c r="N327" i="16"/>
  <c r="AP327" i="16"/>
  <c r="AQ327" i="16" s="1"/>
  <c r="AR137" i="16" s="1"/>
  <c r="AA327" i="16"/>
  <c r="AB327" i="16" s="1"/>
  <c r="AK126" i="16" l="1"/>
  <c r="AK148" i="16"/>
  <c r="AK151" i="16"/>
  <c r="AK158" i="16"/>
  <c r="AK75" i="16"/>
  <c r="AK103" i="16"/>
  <c r="AK63" i="16"/>
  <c r="AK53" i="16"/>
  <c r="AK20" i="16"/>
  <c r="AK87" i="16"/>
  <c r="AK123" i="16"/>
  <c r="AK136" i="16"/>
  <c r="AK156" i="16"/>
  <c r="AK57" i="16"/>
  <c r="AK43" i="16"/>
  <c r="Z79" i="16"/>
  <c r="Z12" i="16"/>
  <c r="AK91" i="16"/>
  <c r="AK116" i="16"/>
  <c r="AK122" i="16"/>
  <c r="AK155" i="16"/>
  <c r="AK157" i="16"/>
  <c r="AC79" i="16"/>
  <c r="AC12" i="16"/>
  <c r="V15" i="16"/>
  <c r="V73" i="16"/>
  <c r="V21" i="16"/>
  <c r="AK32" i="16"/>
  <c r="AK68" i="16"/>
  <c r="AK84" i="16"/>
  <c r="AK94" i="16"/>
  <c r="AK174" i="16"/>
  <c r="AR152" i="16"/>
  <c r="AR156" i="16"/>
  <c r="Z15" i="16"/>
  <c r="Z59" i="16"/>
  <c r="Z122" i="16"/>
  <c r="AC15" i="16"/>
  <c r="AC59" i="16"/>
  <c r="AC122" i="16"/>
  <c r="AK66" i="16"/>
  <c r="AK31" i="16"/>
  <c r="AK162" i="16"/>
  <c r="V138" i="16"/>
  <c r="V142" i="16"/>
  <c r="AC21" i="16"/>
  <c r="AC30" i="16"/>
  <c r="Z30" i="16"/>
  <c r="Z21" i="16"/>
  <c r="AK47" i="16"/>
  <c r="AK74" i="16"/>
  <c r="AK125" i="16"/>
  <c r="AK129" i="16"/>
  <c r="AK146" i="16"/>
  <c r="AK165" i="16"/>
  <c r="Z70" i="16"/>
  <c r="Z23" i="16"/>
  <c r="Z18" i="16"/>
  <c r="AC17" i="16"/>
  <c r="AC70" i="16"/>
  <c r="AC18" i="16"/>
  <c r="AC23" i="16"/>
  <c r="V23" i="16"/>
  <c r="V37" i="16"/>
  <c r="V43" i="16"/>
  <c r="V157" i="16"/>
  <c r="AK64" i="16"/>
  <c r="AK30" i="16"/>
  <c r="AK49" i="16"/>
  <c r="AK52" i="16"/>
  <c r="AK82" i="16"/>
  <c r="AK150" i="16"/>
  <c r="AK173" i="16"/>
  <c r="AK12" i="16"/>
  <c r="AK50" i="16"/>
  <c r="AK29" i="16"/>
  <c r="AK102" i="16"/>
  <c r="AK113" i="16"/>
  <c r="AK127" i="16"/>
  <c r="AK164" i="16"/>
  <c r="Z14" i="16"/>
  <c r="Z17" i="16"/>
  <c r="V60" i="16"/>
  <c r="V20" i="16"/>
  <c r="AK77" i="16"/>
  <c r="AK90" i="16"/>
  <c r="AK132" i="16"/>
  <c r="AK169" i="16"/>
  <c r="AR50" i="16"/>
  <c r="AR169" i="16"/>
  <c r="V70" i="16"/>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O327" i="16"/>
  <c r="P327" i="16"/>
  <c r="E49" i="8"/>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Q38" i="8" s="1"/>
  <c r="K38" i="8" s="1"/>
  <c r="Z65" i="16"/>
  <c r="Z64" i="16"/>
  <c r="Z67" i="16"/>
  <c r="Z71" i="16"/>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<sst xmlns="http://schemas.openxmlformats.org/spreadsheetml/2006/main" count="9480" uniqueCount="905">
  <si>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</si>
  <si>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</si>
  <si>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</si>
  <si>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</si>
  <si>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</si>
  <si>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</si>
  <si>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</si>
  <si>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</si>
  <si>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</si>
  <si>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</si>
  <si>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</si>
  <si>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</si>
  <si>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</si>
  <si>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</si>
  <si>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</si>
  <si>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</si>
  <si>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</si>
  <si>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</si>
  <si>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</si>
  <si>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</si>
  <si>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</si>
  <si>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</si>
  <si>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</si>
  <si>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</si>
  <si>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</si>
  <si>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</si>
  <si>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</si>
  <si>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</si>
  <si>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</si>
  <si>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</si>
  <si>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</si>
  <si>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</si>
  <si>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</si>
  <si>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</si>
  <si>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</si>
  <si>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</si>
  <si>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</si>
  <si>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</si>
  <si>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</si>
  <si>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</si>
  <si>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</si>
  <si>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</si>
  <si>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</si>
  <si>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</si>
  <si>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</si>
  <si>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</si>
  <si>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</si>
  <si>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</si>
  <si>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</si>
  <si>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</si>
  <si>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</si>
  <si>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</si>
  <si>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</si>
  <si>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</si>
  <si>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</si>
  <si>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</si>
  <si>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</si>
  <si>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</si>
  <si>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</si>
  <si>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</si>
  <si>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</si>
  <si>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</si>
  <si>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</si>
  <si>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</si>
  <si>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</si>
  <si>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</si>
  <si>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</si>
  <si>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</si>
  <si>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</si>
  <si>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</si>
  <si>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</si>
  <si>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</si>
  <si>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</si>
  <si>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</si>
  <si>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</si>
  <si>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</si>
  <si>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</si>
  <si>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</si>
  <si>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</si>
  <si>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</si>
  <si>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</si>
  <si>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</si>
  <si>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</si>
  <si>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</si>
  <si>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</si>
  <si>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</si>
  <si>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</si>
  <si>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</si>
  <si>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</si>
  <si>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</si>
  <si>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</si>
  <si>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</si>
  <si>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</si>
  <si>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</si>
  <si>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</si>
  <si>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</si>
  <si>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</si>
  <si>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</si>
  <si>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</si>
  <si>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</si>
  <si>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</si>
  <si>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</si>
  <si>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</si>
  <si>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</si>
  <si>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</si>
  <si>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</si>
  <si>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</si>
  <si>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</si>
  <si>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</si>
  <si>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</si>
  <si>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</si>
  <si>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</si>
  <si>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</si>
  <si>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</si>
  <si>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</si>
  <si>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</si>
  <si>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</si>
  <si>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</si>
  <si>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</si>
  <si>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</si>
  <si>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</si>
  <si>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</si>
  <si>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</si>
  <si>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</si>
  <si>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</si>
  <si>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</si>
  <si>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</si>
  <si>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</si>
  <si>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</si>
  <si>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</si>
  <si>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</si>
  <si>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</si>
  <si>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</si>
  <si>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</si>
  <si>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</si>
  <si>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</si>
  <si>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</si>
  <si>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</si>
  <si>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</si>
  <si>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</si>
  <si>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</si>
  <si>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</si>
  <si>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</si>
  <si>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</si>
  <si>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</si>
  <si>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</si>
  <si>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</si>
  <si>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</si>
  <si>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</si>
  <si>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</si>
  <si>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</si>
  <si>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</si>
  <si>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</si>
  <si>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</si>
  <si>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</si>
  <si>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</si>
  <si>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</si>
  <si>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</si>
  <si>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</si>
  <si>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</si>
  <si>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</si>
  <si>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</si>
  <si>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</si>
  <si>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</si>
  <si>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</si>
  <si>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</si>
  <si>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</si>
  <si>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</si>
  <si>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</si>
  <si>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</si>
  <si>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</si>
  <si>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</si>
  <si>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</si>
  <si>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</si>
  <si>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</si>
  <si>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</si>
  <si>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</si>
  <si>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</si>
  <si>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</si>
  <si>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</si>
  <si>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</si>
  <si>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</si>
  <si>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</si>
  <si>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</si>
  <si>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</si>
  <si>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</si>
  <si>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</si>
  <si>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</si>
  <si>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</si>
  <si>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</si>
  <si>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</si>
  <si>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</si>
  <si>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</si>
  <si>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</si>
  <si>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</si>
  <si>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</si>
  <si>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</si>
  <si>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</si>
  <si>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</si>
  <si>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</si>
  <si>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</si>
  <si>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</si>
  <si>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</si>
  <si>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</si>
  <si>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</si>
  <si>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</si>
  <si>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</si>
  <si>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</si>
  <si>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</si>
  <si>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</si>
  <si>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</si>
  <si>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</si>
  <si>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</si>
  <si>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</si>
  <si>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</si>
  <si>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</si>
  <si>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</si>
  <si>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</si>
  <si>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</si>
  <si>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</si>
  <si>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</si>
  <si>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</si>
  <si>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</si>
  <si>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</si>
  <si>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</si>
  <si>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</si>
  <si>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</si>
  <si>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</si>
  <si>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</si>
  <si>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</si>
  <si>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</si>
  <si>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</si>
  <si>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</si>
  <si>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</si>
  <si>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</si>
  <si>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</si>
  <si>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</si>
  <si>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</si>
  <si>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</si>
  <si>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</si>
  <si>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</si>
  <si>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</si>
  <si>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</si>
  <si>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</si>
  <si>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</si>
  <si>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</si>
  <si>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</si>
  <si>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</si>
  <si>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</si>
  <si>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</si>
  <si>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</si>
  <si>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</si>
  <si>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</si>
  <si>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</si>
  <si>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</si>
  <si>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</si>
  <si>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</si>
  <si>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</si>
  <si>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</si>
  <si>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</si>
  <si>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</si>
  <si>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</si>
  <si>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</si>
  <si>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</si>
  <si>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</si>
  <si>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</si>
  <si>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</si>
  <si>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</si>
  <si>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</si>
  <si>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</si>
  <si>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</si>
  <si>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</si>
  <si>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</si>
  <si>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</si>
  <si>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</si>
  <si>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</si>
  <si>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</si>
  <si>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</si>
  <si>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</si>
  <si>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</si>
  <si>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</si>
  <si>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</si>
  <si>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</si>
  <si>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</si>
  <si>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</si>
  <si>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</si>
  <si>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</si>
  <si>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</si>
  <si>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</si>
  <si>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</si>
  <si>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</si>
  <si>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</si>
  <si>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</si>
  <si>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</si>
  <si>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</si>
  <si>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</si>
  <si>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</si>
  <si>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</si>
  <si>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</si>
  <si>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</si>
  <si>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</si>
  <si>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</si>
  <si>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</si>
  <si>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</si>
  <si>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</si>
  <si>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</si>
  <si>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</si>
  <si>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</si>
  <si>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</si>
  <si>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</si>
  <si>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</si>
  <si>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</si>
  <si>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</si>
  <si>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</si>
  <si>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</si>
  <si>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</si>
  <si>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</si>
  <si>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</si>
  <si>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</si>
  <si>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</si>
  <si>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</si>
  <si>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</si>
  <si>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</si>
  <si>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</si>
  <si>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</si>
  <si>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</si>
  <si>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</si>
  <si>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</si>
  <si>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</si>
  <si>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</si>
  <si>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</si>
  <si>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</si>
  <si>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</si>
  <si>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</si>
  <si>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</si>
  <si>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</si>
  <si>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</si>
  <si>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</si>
  <si>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</si>
  <si>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</si>
  <si>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</si>
  <si>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</si>
  <si>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</si>
  <si>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</si>
  <si>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</si>
  <si>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</si>
  <si>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</si>
  <si>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</si>
  <si>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</si>
  <si>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</si>
  <si>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</si>
  <si>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</si>
  <si>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</si>
  <si>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</si>
  <si>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</si>
  <si>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</si>
  <si>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</si>
  <si>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</si>
  <si>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</si>
  <si>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</si>
  <si>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</si>
  <si>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</si>
  <si>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</si>
  <si>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</si>
  <si>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</si>
  <si>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</si>
  <si>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</si>
  <si>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</si>
  <si>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</si>
  <si>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</si>
  <si>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</si>
  <si>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</si>
  <si>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</si>
  <si>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</si>
  <si>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</si>
  <si>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</si>
  <si>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</si>
  <si>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</si>
  <si>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</si>
  <si>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</si>
  <si>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</si>
  <si>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</si>
  <si>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</si>
  <si>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</si>
  <si>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</si>
  <si>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</si>
  <si>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</si>
  <si>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</si>
  <si>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</si>
  <si>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</si>
  <si>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</si>
  <si>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</si>
  <si>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</si>
  <si>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</si>
  <si>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</si>
  <si>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</si>
  <si>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</si>
  <si>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</si>
  <si>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</si>
  <si>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</si>
  <si>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</si>
  <si>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</si>
  <si>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</si>
  <si>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</si>
  <si>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</si>
  <si>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</si>
  <si>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</si>
  <si>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</si>
  <si>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</si>
  <si>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</si>
  <si>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</si>
  <si>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</si>
  <si>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</si>
  <si>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</si>
  <si>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</si>
  <si>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</si>
  <si>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</si>
  <si>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</si>
  <si>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</si>
  <si>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</si>
  <si>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</si>
  <si>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</si>
  <si>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</si>
  <si>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</si>
  <si>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</si>
  <si>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</si>
  <si>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</si>
  <si>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</si>
  <si>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</si>
  <si>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</si>
  <si>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</si>
  <si>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</si>
  <si>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</si>
  <si>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</si>
  <si>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</si>
  <si>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</si>
  <si>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</si>
  <si>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</si>
  <si>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</si>
  <si>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</si>
  <si>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</si>
  <si>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</si>
  <si>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</si>
  <si>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</si>
  <si>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</si>
  <si>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</si>
  <si>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</si>
  <si>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</si>
  <si>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</si>
  <si>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</si>
  <si>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</si>
  <si>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</si>
  <si>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</si>
  <si>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</si>
  <si>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</si>
  <si>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</si>
  <si>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</si>
  <si>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</si>
  <si>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</si>
  <si>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</si>
  <si>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</si>
  <si>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</si>
  <si>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</si>
  <si>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</si>
  <si>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</si>
  <si>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</si>
  <si>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</si>
  <si>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</si>
  <si>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</si>
  <si>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</si>
  <si>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</si>
  <si>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</si>
  <si>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</si>
  <si>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</si>
  <si>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</si>
  <si>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</si>
  <si>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</si>
  <si>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</si>
  <si>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</si>
  <si>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</si>
  <si>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</si>
  <si>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</si>
  <si>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</si>
  <si>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</si>
  <si>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</si>
  <si>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</si>
  <si>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</si>
  <si>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</si>
  <si>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</si>
  <si>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</si>
  <si>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</si>
  <si>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</si>
  <si>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</si>
  <si>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</si>
  <si>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</si>
  <si>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</si>
  <si>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</si>
  <si>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</si>
  <si>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</si>
  <si>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</si>
  <si>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</si>
  <si>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</si>
  <si>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</si>
  <si>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</si>
  <si>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</si>
  <si>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</si>
  <si>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</si>
  <si>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</si>
  <si>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</si>
  <si>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</si>
  <si>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</si>
  <si>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</si>
  <si>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</si>
  <si>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</si>
  <si>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</si>
  <si>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</si>
  <si>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</si>
  <si>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</si>
  <si>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</si>
  <si>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</si>
  <si>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</si>
  <si>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</si>
  <si>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</si>
  <si>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</si>
  <si>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</si>
  <si>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</si>
  <si>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</si>
  <si>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</si>
  <si>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</si>
  <si>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</si>
  <si>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</si>
  <si>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</si>
  <si>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</si>
  <si>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</si>
  <si>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</si>
  <si>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</si>
  <si>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</si>
  <si>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</si>
  <si>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</si>
  <si>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</si>
  <si>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</si>
  <si>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</si>
  <si>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</si>
  <si>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</si>
  <si>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</si>
  <si>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</si>
  <si>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</si>
  <si>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</si>
  <si>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</si>
  <si>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</si>
  <si>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</si>
  <si>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</si>
  <si>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</si>
  <si>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</si>
  <si>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</si>
  <si>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</si>
  <si>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</si>
  <si>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</si>
  <si>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</si>
  <si>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</si>
  <si>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</si>
  <si>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</si>
  <si>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</si>
  <si>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</si>
  <si>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</si>
  <si>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</si>
  <si>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</si>
  <si>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</si>
  <si>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</si>
  <si>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</si>
  <si>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</si>
  <si>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</si>
  <si>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</si>
  <si>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</si>
  <si>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</si>
  <si>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</si>
  <si>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</si>
  <si>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</si>
  <si>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</si>
  <si>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</si>
  <si>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</si>
  <si>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</si>
  <si>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</si>
  <si>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</si>
  <si>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</si>
  <si>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</si>
  <si>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</si>
  <si>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</si>
  <si>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</si>
  <si>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</si>
  <si>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</si>
  <si>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</si>
  <si>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</si>
  <si>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</si>
  <si>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</si>
  <si>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</si>
  <si>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</si>
  <si>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</si>
  <si>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</si>
  <si>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</si>
  <si>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</si>
  <si>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</si>
  <si>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</si>
  <si>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</si>
  <si>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</si>
  <si>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</si>
  <si>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</si>
  <si>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</si>
  <si>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</si>
  <si>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</si>
  <si>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</si>
  <si>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</si>
  <si>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</si>
  <si>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</si>
  <si>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</si>
  <si>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</si>
  <si>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</si>
  <si>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</si>
  <si>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</si>
  <si>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</si>
  <si>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</si>
  <si>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</si>
  <si>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</si>
  <si>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</si>
  <si>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</si>
  <si>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</si>
  <si>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</si>
  <si>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</si>
  <si>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</si>
  <si>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</si>
  <si>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</si>
  <si>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</si>
  <si>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</si>
  <si>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</si>
  <si>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</si>
  <si>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</si>
  <si>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</si>
  <si>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</si>
  <si>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</si>
  <si>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</si>
  <si>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</si>
  <si>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</si>
  <si>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</si>
  <si>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</si>
  <si>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</si>
  <si>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</si>
  <si>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</si>
  <si>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</si>
  <si>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</si>
  <si>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</si>
  <si>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</si>
  <si>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</si>
  <si>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</si>
  <si>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</si>
  <si>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</si>
  <si>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</si>
  <si>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</si>
  <si>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</si>
  <si>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</si>
  <si>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</si>
  <si>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</si>
  <si>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</si>
  <si>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</si>
  <si>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</si>
  <si>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</si>
  <si>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</si>
  <si>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</si>
  <si>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</si>
  <si>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</si>
  <si>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</si>
  <si>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</si>
  <si>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</si>
  <si>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</si>
  <si>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</si>
  <si>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</si>
  <si>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</si>
  <si>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</si>
  <si>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</si>
  <si>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</si>
  <si>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</si>
  <si>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</si>
  <si>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</si>
  <si>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</si>
  <si>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</si>
  <si>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</si>
  <si>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</si>
  <si>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</si>
  <si>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</si>
  <si>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</si>
  <si>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</si>
  <si>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</si>
  <si>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</si>
  <si>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</si>
  <si>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</si>
  <si>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</si>
  <si>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</si>
  <si>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</si>
  <si>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</si>
  <si>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</si>
  <si>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</si>
  <si>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</si>
  <si>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</si>
  <si>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</si>
  <si>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</si>
  <si>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</si>
  <si>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</si>
  <si>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</si>
  <si>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</si>
  <si>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</si>
  <si>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</si>
  <si>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</si>
  <si>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</si>
  <si>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</si>
  <si>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</si>
  <si>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</si>
  <si>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</si>
  <si>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</si>
  <si>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</si>
  <si>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</si>
  <si>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</si>
  <si>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</si>
  <si>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</si>
  <si>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</si>
  <si>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</si>
  <si>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</si>
  <si>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</si>
  <si>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</si>
  <si>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</si>
  <si>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</si>
  <si>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</si>
  <si>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</si>
  <si>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</si>
  <si>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</si>
  <si>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</si>
  <si>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</si>
  <si>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</si>
  <si>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</si>
  <si>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</si>
  <si>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</si>
  <si>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</si>
  <si>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</si>
  <si>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</si>
  <si>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</si>
  <si>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</si>
  <si>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</si>
  <si>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</si>
  <si>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</si>
  <si>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</si>
  <si>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</si>
  <si>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</si>
  <si>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</si>
  <si>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</si>
  <si>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</si>
  <si>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</si>
  <si>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</si>
  <si>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</si>
  <si>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</si>
  <si>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</si>
  <si>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</si>
  <si>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</si>
  <si>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</si>
  <si>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</si>
  <si>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</si>
  <si>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</si>
  <si>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</si>
  <si>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</si>
  <si>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</si>
  <si>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</si>
  <si>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</si>
  <si>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</si>
  <si>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</si>
  <si>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</si>
  <si>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</si>
  <si>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</si>
  <si>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</si>
  <si>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</si>
  <si>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</si>
  <si>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</si>
  <si>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</si>
  <si>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</si>
  <si>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</si>
  <si>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</si>
  <si>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</si>
  <si>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</si>
  <si>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</si>
  <si>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</si>
  <si>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</si>
  <si>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</si>
  <si>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</si>
  <si>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</si>
  <si>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</si>
  <si>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</si>
  <si>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</si>
  <si>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</si>
  <si>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</si>
  <si>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</si>
  <si>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</si>
  <si>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</si>
  <si>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</si>
  <si>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</si>
  <si>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</si>
  <si>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</si>
  <si>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</si>
  <si>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</si>
  <si>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</si>
  <si>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</si>
  <si>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</si>
  <si>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</si>
  <si>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</si>
  <si>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</si>
  <si>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</si>
  <si>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</si>
  <si>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</si>
  <si>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</si>
  <si>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</si>
  <si>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</si>
  <si>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</si>
  <si>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</si>
  <si>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</si>
  <si>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</si>
  <si>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</si>
  <si>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</si>
  <si>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</si>
  <si>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</si>
  <si>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</si>
  <si>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</si>
  <si>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</si>
  <si>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</si>
  <si>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</si>
  <si>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</si>
  <si>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</si>
  <si>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</si>
  <si>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</si>
  <si>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</si>
  <si>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</si>
  <si>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</si>
  <si>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</si>
  <si>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</si>
  <si>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</si>
  <si>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</si>
  <si>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</si>
  <si>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</si>
  <si>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</si>
  <si>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</si>
  <si>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</si>
  <si>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</si>
  <si>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</si>
  <si>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</si>
  <si>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</si>
  <si>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</si>
  <si>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</si>
  <si>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</si>
  <si>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</si>
  <si>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</si>
  <si>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</si>
  <si>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</si>
  <si>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</si>
  <si>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</si>
  <si>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</si>
  <si>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</si>
  <si>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</si>
  <si>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</si>
  <si>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</si>
  <si>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</si>
  <si>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</si>
  <si>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</si>
  <si>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</si>
  <si>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</si>
  <si>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</si>
  <si>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</si>
  <si>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</si>
  <si>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</si>
  <si>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</si>
  <si>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</si>
  <si>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</si>
  <si>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</si>
  <si>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</si>
  <si>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</si>
  <si>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</si>
  <si>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</si>
  <si>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</si>
  <si>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</si>
  <si>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</si>
  <si>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</si>
  <si>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</si>
  <si>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</si>
  <si>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</si>
  <si>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</si>
  <si>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</si>
  <si>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</si>
  <si>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</si>
  <si>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</si>
  <si>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</si>
  <si>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</si>
  <si>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</si>
  <si>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</si>
  <si>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</si>
  <si>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</si>
  <si>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Speed of Processing</t>
  </si>
  <si>
    <t>A</t>
  </si>
  <si>
    <t>Housing Benefit - New Claims</t>
  </si>
  <si>
    <t>Housing Benefit - Change of Circumstances</t>
  </si>
  <si>
    <t>Q1 2023/24</t>
  </si>
  <si>
    <t>Q2 2023/24</t>
  </si>
  <si>
    <t>Source: Official Statistics, DWP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</si>
</sst>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8">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6" xfId="60" applyFont="1" applyBorder="1" applyProtection="1">
      <protection locked="0"/>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5"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7" fillId="0" borderId="0" xfId="0" applyFont="1" applyAlignment="1">
      <alignment horizontal="center"/>
    </xf>
    <xf numFmtId="0" fontId="25" fillId="21" borderId="0" xfId="0" applyFont="1" applyFill="1" applyAlignment="1">
      <alignment horizontal="center"/>
    </xf>
    <xf numFmtId="0" fontId="25" fillId="0" borderId="0" xfId="0" applyFont="1" applyAlignment="1">
      <alignment horizontal="center"/>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40" fillId="23" borderId="0" xfId="0" applyFont="1" applyFill="1" applyAlignment="1">
      <alignment horizontal="center" vertical="center"/>
    </xf>
    <xf numFmtId="2" fontId="25" fillId="21" borderId="0" xfId="4" applyNumberFormat="1" applyFont="1" applyFill="1" applyAlignment="1">
      <alignment horizontal="center"/>
    </xf>
    <xf numFmtId="0" fontId="0" fillId="0" borderId="0" xfId="0" quotePrefix="1" applyAlignment="1">
      <alignment horizontal="center"/>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7" xfId="0" applyFont="1" applyBorder="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1" fontId="26" fillId="0" borderId="4" xfId="4" applyNumberFormat="1" applyFont="1" applyBorder="1" applyAlignment="1">
      <alignment horizontal="center"/>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2" fontId="0" fillId="0" borderId="0" xfId="0" applyNumberFormat="1" applyAlignment="1">
      <alignment horizontal="center"/>
    </xf>
    <xf numFmtId="0" fontId="55" fillId="23" borderId="0" xfId="0" applyFont="1" applyFill="1" applyAlignment="1">
      <alignment horizontal="center" vertical="center"/>
    </xf>
    <xf numFmtId="43" fontId="0" fillId="0" borderId="14" xfId="54" applyFont="1" applyBorder="1" applyAlignment="1">
      <alignment horizontal="center"/>
    </xf>
    <xf numFmtId="43" fontId="24"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7" fillId="2" borderId="4" xfId="0" applyFont="1" applyFill="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38" fillId="5" borderId="4" xfId="0" applyFont="1" applyFill="1" applyBorder="1" applyAlignment="1">
      <alignment horizontal="center"/>
    </xf>
    <xf numFmtId="43" fontId="24"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6" fillId="23" borderId="0" xfId="0" applyFont="1" applyFill="1" applyAlignment="1">
      <alignment horizontal="center" vertic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2" fontId="25" fillId="0" borderId="0" xfId="4" applyNumberFormat="1" applyFont="1" applyAlignment="1">
      <alignment horizontal="center"/>
    </xf>
    <xf numFmtId="2" fontId="25" fillId="0" borderId="0" xfId="4" applyNumberFormat="1" applyFont="1" applyAlignment="1">
      <alignment horizontal="right"/>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42" fillId="23" borderId="0" xfId="0" quotePrefix="1" applyFont="1" applyFill="1" applyAlignment="1">
      <alignment horizontal="center"/>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3"/>
                <c:pt idx="52">
                  <c:v>u</c:v>
                </c:pt>
              </c:strCache>
            </c:strRef>
          </c:cat>
          <c:val>
            <c:numRef>
              <c:f>[0]!TopQuart</c:f>
              <c:numCache>
                <c:formatCode>General</c:formatCode>
                <c:ptCount val="163"/>
                <c:pt idx="0">
                  <c:v>4</c:v>
                </c:pt>
                <c:pt idx="1">
                  <c:v>6</c:v>
                </c:pt>
                <c:pt idx="2">
                  <c:v>7</c:v>
                </c:pt>
                <c:pt idx="3">
                  <c:v>8</c:v>
                </c:pt>
                <c:pt idx="4">
                  <c:v>8</c:v>
                </c:pt>
                <c:pt idx="5">
                  <c:v>8</c:v>
                </c:pt>
                <c:pt idx="6">
                  <c:v>8</c:v>
                </c:pt>
                <c:pt idx="7">
                  <c:v>9</c:v>
                </c:pt>
                <c:pt idx="8">
                  <c:v>9</c:v>
                </c:pt>
                <c:pt idx="9">
                  <c:v>9</c:v>
                </c:pt>
                <c:pt idx="10">
                  <c:v>10</c:v>
                </c:pt>
                <c:pt idx="11">
                  <c:v>11</c:v>
                </c:pt>
                <c:pt idx="12">
                  <c:v>11</c:v>
                </c:pt>
                <c:pt idx="13">
                  <c:v>11</c:v>
                </c:pt>
                <c:pt idx="14">
                  <c:v>11</c:v>
                </c:pt>
                <c:pt idx="15">
                  <c:v>11</c:v>
                </c:pt>
                <c:pt idx="16">
                  <c:v>11</c:v>
                </c:pt>
                <c:pt idx="17">
                  <c:v>11</c:v>
                </c:pt>
                <c:pt idx="18">
                  <c:v>12</c:v>
                </c:pt>
                <c:pt idx="19">
                  <c:v>12</c:v>
                </c:pt>
                <c:pt idx="20">
                  <c:v>12</c:v>
                </c:pt>
                <c:pt idx="21">
                  <c:v>13</c:v>
                </c:pt>
                <c:pt idx="22">
                  <c:v>13</c:v>
                </c:pt>
                <c:pt idx="23">
                  <c:v>13</c:v>
                </c:pt>
                <c:pt idx="24">
                  <c:v>13</c:v>
                </c:pt>
                <c:pt idx="25">
                  <c:v>13</c:v>
                </c:pt>
                <c:pt idx="26">
                  <c:v>13</c:v>
                </c:pt>
                <c:pt idx="27">
                  <c:v>13</c:v>
                </c:pt>
                <c:pt idx="28">
                  <c:v>13</c:v>
                </c:pt>
                <c:pt idx="29">
                  <c:v>14</c:v>
                </c:pt>
                <c:pt idx="30">
                  <c:v>14</c:v>
                </c:pt>
                <c:pt idx="31">
                  <c:v>14</c:v>
                </c:pt>
                <c:pt idx="32">
                  <c:v>14</c:v>
                </c:pt>
                <c:pt idx="33">
                  <c:v>14</c:v>
                </c:pt>
                <c:pt idx="34">
                  <c:v>14</c:v>
                </c:pt>
                <c:pt idx="35">
                  <c:v>14</c:v>
                </c:pt>
                <c:pt idx="36">
                  <c:v>14</c:v>
                </c:pt>
                <c:pt idx="37">
                  <c:v>14</c:v>
                </c:pt>
                <c:pt idx="38">
                  <c:v>15</c:v>
                </c:pt>
                <c:pt idx="39">
                  <c:v>15</c:v>
                </c:pt>
                <c:pt idx="40">
                  <c:v>15</c:v>
                </c:pt>
                <c:pt idx="41">
                  <c:v>15</c:v>
                </c:pt>
                <c:pt idx="42">
                  <c:v>15</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3"/>
                <c:pt idx="52">
                  <c:v>u</c:v>
                </c:pt>
              </c:strCache>
            </c:strRef>
          </c:cat>
          <c:val>
            <c:numRef>
              <c:f>[0]!SecQuart</c:f>
              <c:numCache>
                <c:formatCode>General</c:formatCode>
                <c:ptCount val="1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16</c:v>
                </c:pt>
                <c:pt idx="44">
                  <c:v>16</c:v>
                </c:pt>
                <c:pt idx="45">
                  <c:v>16</c:v>
                </c:pt>
                <c:pt idx="46">
                  <c:v>16</c:v>
                </c:pt>
                <c:pt idx="47">
                  <c:v>16</c:v>
                </c:pt>
                <c:pt idx="48">
                  <c:v>16</c:v>
                </c:pt>
                <c:pt idx="49">
                  <c:v>16</c:v>
                </c:pt>
                <c:pt idx="50">
                  <c:v>16</c:v>
                </c:pt>
                <c:pt idx="51">
                  <c:v>16</c:v>
                </c:pt>
                <c:pt idx="52">
                  <c:v>17</c:v>
                </c:pt>
                <c:pt idx="53">
                  <c:v>17</c:v>
                </c:pt>
                <c:pt idx="54">
                  <c:v>17</c:v>
                </c:pt>
                <c:pt idx="55">
                  <c:v>17</c:v>
                </c:pt>
                <c:pt idx="56">
                  <c:v>17</c:v>
                </c:pt>
                <c:pt idx="57">
                  <c:v>17</c:v>
                </c:pt>
                <c:pt idx="58">
                  <c:v>17</c:v>
                </c:pt>
                <c:pt idx="59">
                  <c:v>17</c:v>
                </c:pt>
                <c:pt idx="60">
                  <c:v>17</c:v>
                </c:pt>
                <c:pt idx="61">
                  <c:v>18</c:v>
                </c:pt>
                <c:pt idx="62">
                  <c:v>18</c:v>
                </c:pt>
                <c:pt idx="63">
                  <c:v>18</c:v>
                </c:pt>
                <c:pt idx="64">
                  <c:v>18</c:v>
                </c:pt>
                <c:pt idx="65">
                  <c:v>18</c:v>
                </c:pt>
                <c:pt idx="66">
                  <c:v>18</c:v>
                </c:pt>
                <c:pt idx="67">
                  <c:v>18</c:v>
                </c:pt>
                <c:pt idx="68">
                  <c:v>18</c:v>
                </c:pt>
                <c:pt idx="69">
                  <c:v>18</c:v>
                </c:pt>
                <c:pt idx="70">
                  <c:v>18</c:v>
                </c:pt>
                <c:pt idx="71">
                  <c:v>18</c:v>
                </c:pt>
                <c:pt idx="72">
                  <c:v>19</c:v>
                </c:pt>
                <c:pt idx="73">
                  <c:v>19</c:v>
                </c:pt>
                <c:pt idx="74">
                  <c:v>19</c:v>
                </c:pt>
                <c:pt idx="75">
                  <c:v>19</c:v>
                </c:pt>
                <c:pt idx="76">
                  <c:v>19</c:v>
                </c:pt>
                <c:pt idx="77">
                  <c:v>19</c:v>
                </c:pt>
                <c:pt idx="78">
                  <c:v>19</c:v>
                </c:pt>
                <c:pt idx="79">
                  <c:v>19</c:v>
                </c:pt>
                <c:pt idx="80">
                  <c:v>19</c:v>
                </c:pt>
                <c:pt idx="81">
                  <c:v>19</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3"/>
                <c:pt idx="52">
                  <c:v>u</c:v>
                </c:pt>
              </c:strCache>
            </c:strRef>
          </c:cat>
          <c:val>
            <c:numRef>
              <c:f>[0]!ThirdQuart</c:f>
              <c:numCache>
                <c:formatCode>General</c:formatCode>
                <c:ptCount val="1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20</c:v>
                </c:pt>
                <c:pt idx="83">
                  <c:v>20</c:v>
                </c:pt>
                <c:pt idx="84">
                  <c:v>20</c:v>
                </c:pt>
                <c:pt idx="85">
                  <c:v>20</c:v>
                </c:pt>
                <c:pt idx="86">
                  <c:v>20</c:v>
                </c:pt>
                <c:pt idx="87">
                  <c:v>20</c:v>
                </c:pt>
                <c:pt idx="88">
                  <c:v>20</c:v>
                </c:pt>
                <c:pt idx="89">
                  <c:v>20</c:v>
                </c:pt>
                <c:pt idx="90">
                  <c:v>21</c:v>
                </c:pt>
                <c:pt idx="91">
                  <c:v>21</c:v>
                </c:pt>
                <c:pt idx="92">
                  <c:v>21</c:v>
                </c:pt>
                <c:pt idx="93">
                  <c:v>21</c:v>
                </c:pt>
                <c:pt idx="94">
                  <c:v>21</c:v>
                </c:pt>
                <c:pt idx="95">
                  <c:v>21</c:v>
                </c:pt>
                <c:pt idx="96">
                  <c:v>21</c:v>
                </c:pt>
                <c:pt idx="97">
                  <c:v>21</c:v>
                </c:pt>
                <c:pt idx="98">
                  <c:v>22</c:v>
                </c:pt>
                <c:pt idx="99">
                  <c:v>22</c:v>
                </c:pt>
                <c:pt idx="100">
                  <c:v>22</c:v>
                </c:pt>
                <c:pt idx="101">
                  <c:v>22</c:v>
                </c:pt>
                <c:pt idx="102">
                  <c:v>22</c:v>
                </c:pt>
                <c:pt idx="103">
                  <c:v>22</c:v>
                </c:pt>
                <c:pt idx="104">
                  <c:v>22</c:v>
                </c:pt>
                <c:pt idx="105">
                  <c:v>22</c:v>
                </c:pt>
                <c:pt idx="106">
                  <c:v>22</c:v>
                </c:pt>
                <c:pt idx="107">
                  <c:v>22</c:v>
                </c:pt>
                <c:pt idx="108">
                  <c:v>22</c:v>
                </c:pt>
                <c:pt idx="109">
                  <c:v>23</c:v>
                </c:pt>
                <c:pt idx="110">
                  <c:v>23</c:v>
                </c:pt>
                <c:pt idx="111">
                  <c:v>23</c:v>
                </c:pt>
                <c:pt idx="112">
                  <c:v>23</c:v>
                </c:pt>
                <c:pt idx="113">
                  <c:v>23</c:v>
                </c:pt>
                <c:pt idx="114">
                  <c:v>23</c:v>
                </c:pt>
                <c:pt idx="115">
                  <c:v>23</c:v>
                </c:pt>
                <c:pt idx="116">
                  <c:v>23</c:v>
                </c:pt>
                <c:pt idx="117">
                  <c:v>23</c:v>
                </c:pt>
                <c:pt idx="118">
                  <c:v>23</c:v>
                </c:pt>
                <c:pt idx="119">
                  <c:v>23</c:v>
                </c:pt>
                <c:pt idx="120">
                  <c:v>23</c:v>
                </c:pt>
                <c:pt idx="121">
                  <c:v>23</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3"/>
                <c:pt idx="52">
                  <c:v>u</c:v>
                </c:pt>
              </c:strCache>
            </c:strRef>
          </c:cat>
          <c:val>
            <c:numRef>
              <c:f>[0]!BotQuart</c:f>
              <c:numCache>
                <c:formatCode>General</c:formatCode>
                <c:ptCount val="1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24</c:v>
                </c:pt>
                <c:pt idx="123">
                  <c:v>24</c:v>
                </c:pt>
                <c:pt idx="124">
                  <c:v>24</c:v>
                </c:pt>
                <c:pt idx="125">
                  <c:v>24</c:v>
                </c:pt>
                <c:pt idx="126">
                  <c:v>24</c:v>
                </c:pt>
                <c:pt idx="127">
                  <c:v>24</c:v>
                </c:pt>
                <c:pt idx="128">
                  <c:v>24</c:v>
                </c:pt>
                <c:pt idx="129">
                  <c:v>24</c:v>
                </c:pt>
                <c:pt idx="130">
                  <c:v>25</c:v>
                </c:pt>
                <c:pt idx="131">
                  <c:v>25</c:v>
                </c:pt>
                <c:pt idx="132">
                  <c:v>25</c:v>
                </c:pt>
                <c:pt idx="133">
                  <c:v>25</c:v>
                </c:pt>
                <c:pt idx="134">
                  <c:v>25</c:v>
                </c:pt>
                <c:pt idx="135">
                  <c:v>25</c:v>
                </c:pt>
                <c:pt idx="136">
                  <c:v>25</c:v>
                </c:pt>
                <c:pt idx="137">
                  <c:v>26</c:v>
                </c:pt>
                <c:pt idx="138">
                  <c:v>26</c:v>
                </c:pt>
                <c:pt idx="139">
                  <c:v>26</c:v>
                </c:pt>
                <c:pt idx="140">
                  <c:v>27</c:v>
                </c:pt>
                <c:pt idx="141">
                  <c:v>27</c:v>
                </c:pt>
                <c:pt idx="142">
                  <c:v>27</c:v>
                </c:pt>
                <c:pt idx="143">
                  <c:v>27</c:v>
                </c:pt>
                <c:pt idx="144">
                  <c:v>28</c:v>
                </c:pt>
                <c:pt idx="145">
                  <c:v>28</c:v>
                </c:pt>
                <c:pt idx="146">
                  <c:v>28</c:v>
                </c:pt>
                <c:pt idx="147">
                  <c:v>29</c:v>
                </c:pt>
                <c:pt idx="148">
                  <c:v>29</c:v>
                </c:pt>
                <c:pt idx="149">
                  <c:v>30</c:v>
                </c:pt>
                <c:pt idx="150">
                  <c:v>30</c:v>
                </c:pt>
                <c:pt idx="151">
                  <c:v>31</c:v>
                </c:pt>
                <c:pt idx="152">
                  <c:v>31</c:v>
                </c:pt>
                <c:pt idx="153">
                  <c:v>31</c:v>
                </c:pt>
                <c:pt idx="154">
                  <c:v>32</c:v>
                </c:pt>
                <c:pt idx="155">
                  <c:v>32</c:v>
                </c:pt>
                <c:pt idx="156">
                  <c:v>33</c:v>
                </c:pt>
                <c:pt idx="157">
                  <c:v>34</c:v>
                </c:pt>
                <c:pt idx="158">
                  <c:v>37</c:v>
                </c:pt>
                <c:pt idx="159">
                  <c:v>40</c:v>
                </c:pt>
                <c:pt idx="160">
                  <c:v>40</c:v>
                </c:pt>
                <c:pt idx="161">
                  <c:v>45</c:v>
                </c:pt>
                <c:pt idx="162">
                  <c:v>72</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3"/>
                <c:pt idx="52">
                  <c:v>u</c:v>
                </c:pt>
              </c:strCache>
            </c:strRef>
          </c:cat>
          <c:val>
            <c:numRef>
              <c:f>[0]!MarkData</c:f>
              <c:numCache>
                <c:formatCode>0.00</c:formatCode>
                <c:ptCount val="163"/>
                <c:pt idx="0">
                  <c:v>4</c:v>
                </c:pt>
                <c:pt idx="1">
                  <c:v>6</c:v>
                </c:pt>
                <c:pt idx="2">
                  <c:v>7</c:v>
                </c:pt>
                <c:pt idx="3">
                  <c:v>8</c:v>
                </c:pt>
                <c:pt idx="4">
                  <c:v>8</c:v>
                </c:pt>
                <c:pt idx="5">
                  <c:v>8</c:v>
                </c:pt>
                <c:pt idx="6">
                  <c:v>8</c:v>
                </c:pt>
                <c:pt idx="7">
                  <c:v>9</c:v>
                </c:pt>
                <c:pt idx="8">
                  <c:v>9</c:v>
                </c:pt>
                <c:pt idx="9">
                  <c:v>9</c:v>
                </c:pt>
                <c:pt idx="10">
                  <c:v>10</c:v>
                </c:pt>
                <c:pt idx="11">
                  <c:v>11</c:v>
                </c:pt>
                <c:pt idx="12">
                  <c:v>11</c:v>
                </c:pt>
                <c:pt idx="13">
                  <c:v>11</c:v>
                </c:pt>
                <c:pt idx="14">
                  <c:v>11</c:v>
                </c:pt>
                <c:pt idx="15">
                  <c:v>11</c:v>
                </c:pt>
                <c:pt idx="16">
                  <c:v>11</c:v>
                </c:pt>
                <c:pt idx="17">
                  <c:v>11</c:v>
                </c:pt>
                <c:pt idx="18">
                  <c:v>12</c:v>
                </c:pt>
                <c:pt idx="19">
                  <c:v>12</c:v>
                </c:pt>
                <c:pt idx="20">
                  <c:v>12</c:v>
                </c:pt>
                <c:pt idx="21">
                  <c:v>13</c:v>
                </c:pt>
                <c:pt idx="22">
                  <c:v>13</c:v>
                </c:pt>
                <c:pt idx="23">
                  <c:v>13</c:v>
                </c:pt>
                <c:pt idx="24">
                  <c:v>13</c:v>
                </c:pt>
                <c:pt idx="25">
                  <c:v>13</c:v>
                </c:pt>
                <c:pt idx="26">
                  <c:v>13</c:v>
                </c:pt>
                <c:pt idx="27">
                  <c:v>13</c:v>
                </c:pt>
                <c:pt idx="28">
                  <c:v>13</c:v>
                </c:pt>
                <c:pt idx="29">
                  <c:v>14</c:v>
                </c:pt>
                <c:pt idx="30">
                  <c:v>14</c:v>
                </c:pt>
                <c:pt idx="31">
                  <c:v>14</c:v>
                </c:pt>
                <c:pt idx="32">
                  <c:v>14</c:v>
                </c:pt>
                <c:pt idx="33">
                  <c:v>14</c:v>
                </c:pt>
                <c:pt idx="34">
                  <c:v>14</c:v>
                </c:pt>
                <c:pt idx="35">
                  <c:v>14</c:v>
                </c:pt>
                <c:pt idx="36">
                  <c:v>14</c:v>
                </c:pt>
                <c:pt idx="37">
                  <c:v>14</c:v>
                </c:pt>
                <c:pt idx="38">
                  <c:v>15</c:v>
                </c:pt>
                <c:pt idx="39">
                  <c:v>15</c:v>
                </c:pt>
                <c:pt idx="40">
                  <c:v>15</c:v>
                </c:pt>
                <c:pt idx="41">
                  <c:v>15</c:v>
                </c:pt>
                <c:pt idx="42">
                  <c:v>15</c:v>
                </c:pt>
                <c:pt idx="43">
                  <c:v>16</c:v>
                </c:pt>
                <c:pt idx="44">
                  <c:v>16</c:v>
                </c:pt>
                <c:pt idx="45">
                  <c:v>16</c:v>
                </c:pt>
                <c:pt idx="46">
                  <c:v>16</c:v>
                </c:pt>
                <c:pt idx="47">
                  <c:v>16</c:v>
                </c:pt>
                <c:pt idx="48">
                  <c:v>16</c:v>
                </c:pt>
                <c:pt idx="49">
                  <c:v>16</c:v>
                </c:pt>
                <c:pt idx="50">
                  <c:v>16</c:v>
                </c:pt>
                <c:pt idx="51">
                  <c:v>16</c:v>
                </c:pt>
                <c:pt idx="52">
                  <c:v>17</c:v>
                </c:pt>
                <c:pt idx="53">
                  <c:v>17</c:v>
                </c:pt>
                <c:pt idx="54">
                  <c:v>17</c:v>
                </c:pt>
                <c:pt idx="55">
                  <c:v>17</c:v>
                </c:pt>
                <c:pt idx="56">
                  <c:v>17</c:v>
                </c:pt>
                <c:pt idx="57">
                  <c:v>17</c:v>
                </c:pt>
                <c:pt idx="58">
                  <c:v>17</c:v>
                </c:pt>
                <c:pt idx="59">
                  <c:v>17</c:v>
                </c:pt>
                <c:pt idx="60">
                  <c:v>17</c:v>
                </c:pt>
                <c:pt idx="61">
                  <c:v>18</c:v>
                </c:pt>
                <c:pt idx="62">
                  <c:v>18</c:v>
                </c:pt>
                <c:pt idx="63">
                  <c:v>18</c:v>
                </c:pt>
                <c:pt idx="64">
                  <c:v>18</c:v>
                </c:pt>
                <c:pt idx="65">
                  <c:v>18</c:v>
                </c:pt>
                <c:pt idx="66">
                  <c:v>18</c:v>
                </c:pt>
                <c:pt idx="67">
                  <c:v>18</c:v>
                </c:pt>
                <c:pt idx="68">
                  <c:v>18</c:v>
                </c:pt>
                <c:pt idx="69">
                  <c:v>18</c:v>
                </c:pt>
                <c:pt idx="70">
                  <c:v>18</c:v>
                </c:pt>
                <c:pt idx="71">
                  <c:v>18</c:v>
                </c:pt>
                <c:pt idx="72">
                  <c:v>19</c:v>
                </c:pt>
                <c:pt idx="73">
                  <c:v>19</c:v>
                </c:pt>
                <c:pt idx="74">
                  <c:v>19</c:v>
                </c:pt>
                <c:pt idx="75">
                  <c:v>19</c:v>
                </c:pt>
                <c:pt idx="76">
                  <c:v>19</c:v>
                </c:pt>
                <c:pt idx="77">
                  <c:v>19</c:v>
                </c:pt>
                <c:pt idx="78">
                  <c:v>19</c:v>
                </c:pt>
                <c:pt idx="79">
                  <c:v>19</c:v>
                </c:pt>
                <c:pt idx="80">
                  <c:v>19</c:v>
                </c:pt>
                <c:pt idx="81">
                  <c:v>19</c:v>
                </c:pt>
                <c:pt idx="82">
                  <c:v>20</c:v>
                </c:pt>
                <c:pt idx="83">
                  <c:v>20</c:v>
                </c:pt>
                <c:pt idx="84">
                  <c:v>20</c:v>
                </c:pt>
                <c:pt idx="85">
                  <c:v>20</c:v>
                </c:pt>
                <c:pt idx="86">
                  <c:v>20</c:v>
                </c:pt>
                <c:pt idx="87">
                  <c:v>20</c:v>
                </c:pt>
                <c:pt idx="88">
                  <c:v>20</c:v>
                </c:pt>
                <c:pt idx="89">
                  <c:v>20</c:v>
                </c:pt>
                <c:pt idx="90">
                  <c:v>21</c:v>
                </c:pt>
                <c:pt idx="91">
                  <c:v>21</c:v>
                </c:pt>
                <c:pt idx="92">
                  <c:v>21</c:v>
                </c:pt>
                <c:pt idx="93">
                  <c:v>21</c:v>
                </c:pt>
                <c:pt idx="94">
                  <c:v>21</c:v>
                </c:pt>
                <c:pt idx="95">
                  <c:v>21</c:v>
                </c:pt>
                <c:pt idx="96">
                  <c:v>21</c:v>
                </c:pt>
                <c:pt idx="97">
                  <c:v>21</c:v>
                </c:pt>
                <c:pt idx="98">
                  <c:v>22</c:v>
                </c:pt>
                <c:pt idx="99">
                  <c:v>22</c:v>
                </c:pt>
                <c:pt idx="100">
                  <c:v>22</c:v>
                </c:pt>
                <c:pt idx="101">
                  <c:v>22</c:v>
                </c:pt>
                <c:pt idx="102">
                  <c:v>22</c:v>
                </c:pt>
                <c:pt idx="103">
                  <c:v>22</c:v>
                </c:pt>
                <c:pt idx="104">
                  <c:v>22</c:v>
                </c:pt>
                <c:pt idx="105">
                  <c:v>22</c:v>
                </c:pt>
                <c:pt idx="106">
                  <c:v>22</c:v>
                </c:pt>
                <c:pt idx="107">
                  <c:v>22</c:v>
                </c:pt>
                <c:pt idx="108">
                  <c:v>22</c:v>
                </c:pt>
                <c:pt idx="109">
                  <c:v>23</c:v>
                </c:pt>
                <c:pt idx="110">
                  <c:v>23</c:v>
                </c:pt>
                <c:pt idx="111">
                  <c:v>23</c:v>
                </c:pt>
                <c:pt idx="112">
                  <c:v>23</c:v>
                </c:pt>
                <c:pt idx="113">
                  <c:v>23</c:v>
                </c:pt>
                <c:pt idx="114">
                  <c:v>23</c:v>
                </c:pt>
                <c:pt idx="115">
                  <c:v>23</c:v>
                </c:pt>
                <c:pt idx="116">
                  <c:v>23</c:v>
                </c:pt>
                <c:pt idx="117">
                  <c:v>23</c:v>
                </c:pt>
                <c:pt idx="118">
                  <c:v>23</c:v>
                </c:pt>
                <c:pt idx="119">
                  <c:v>23</c:v>
                </c:pt>
                <c:pt idx="120">
                  <c:v>23</c:v>
                </c:pt>
                <c:pt idx="121">
                  <c:v>23</c:v>
                </c:pt>
                <c:pt idx="122">
                  <c:v>24</c:v>
                </c:pt>
                <c:pt idx="123">
                  <c:v>24</c:v>
                </c:pt>
                <c:pt idx="124">
                  <c:v>24</c:v>
                </c:pt>
                <c:pt idx="125">
                  <c:v>24</c:v>
                </c:pt>
                <c:pt idx="126">
                  <c:v>24</c:v>
                </c:pt>
                <c:pt idx="127">
                  <c:v>24</c:v>
                </c:pt>
                <c:pt idx="128">
                  <c:v>24</c:v>
                </c:pt>
                <c:pt idx="129">
                  <c:v>24</c:v>
                </c:pt>
                <c:pt idx="130">
                  <c:v>25</c:v>
                </c:pt>
                <c:pt idx="131">
                  <c:v>25</c:v>
                </c:pt>
                <c:pt idx="132">
                  <c:v>25</c:v>
                </c:pt>
                <c:pt idx="133">
                  <c:v>25</c:v>
                </c:pt>
                <c:pt idx="134">
                  <c:v>25</c:v>
                </c:pt>
                <c:pt idx="135">
                  <c:v>25</c:v>
                </c:pt>
                <c:pt idx="136">
                  <c:v>25</c:v>
                </c:pt>
                <c:pt idx="137">
                  <c:v>26</c:v>
                </c:pt>
                <c:pt idx="138">
                  <c:v>26</c:v>
                </c:pt>
                <c:pt idx="139">
                  <c:v>26</c:v>
                </c:pt>
                <c:pt idx="140">
                  <c:v>27</c:v>
                </c:pt>
                <c:pt idx="141">
                  <c:v>27</c:v>
                </c:pt>
                <c:pt idx="142">
                  <c:v>27</c:v>
                </c:pt>
                <c:pt idx="143">
                  <c:v>27</c:v>
                </c:pt>
                <c:pt idx="144">
                  <c:v>28</c:v>
                </c:pt>
                <c:pt idx="145">
                  <c:v>28</c:v>
                </c:pt>
                <c:pt idx="146">
                  <c:v>28</c:v>
                </c:pt>
                <c:pt idx="147">
                  <c:v>29</c:v>
                </c:pt>
                <c:pt idx="148">
                  <c:v>29</c:v>
                </c:pt>
                <c:pt idx="149">
                  <c:v>30</c:v>
                </c:pt>
                <c:pt idx="150">
                  <c:v>30</c:v>
                </c:pt>
                <c:pt idx="151">
                  <c:v>31</c:v>
                </c:pt>
                <c:pt idx="152">
                  <c:v>31</c:v>
                </c:pt>
                <c:pt idx="153">
                  <c:v>31</c:v>
                </c:pt>
                <c:pt idx="154">
                  <c:v>32</c:v>
                </c:pt>
                <c:pt idx="155">
                  <c:v>32</c:v>
                </c:pt>
                <c:pt idx="156">
                  <c:v>33</c:v>
                </c:pt>
                <c:pt idx="157">
                  <c:v>34</c:v>
                </c:pt>
                <c:pt idx="158">
                  <c:v>37</c:v>
                </c:pt>
                <c:pt idx="159">
                  <c:v>40</c:v>
                </c:pt>
                <c:pt idx="160">
                  <c:v>40</c:v>
                </c:pt>
                <c:pt idx="161">
                  <c:v>45</c:v>
                </c:pt>
                <c:pt idx="162">
                  <c:v>72</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17</c:v>
                </c:pt>
                <c:pt idx="1">
                  <c:v>20.067484662576685</c:v>
                </c:pt>
                <c:pt idx="2">
                  <c:v>20.8</c:v>
                </c:pt>
                <c:pt idx="3">
                  <c:v>20.576271186440678</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23.5</c:v>
                </c:pt>
                <c:pt idx="1">
                  <c:v>23.5</c:v>
                </c:pt>
                <c:pt idx="2">
                  <c:v>23.5</c:v>
                </c:pt>
                <c:pt idx="3">
                  <c:v>23.5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17</c:v>
                </c:pt>
                <c:pt idx="1">
                  <c:v>20.482758620689655</c:v>
                </c:pt>
                <c:pt idx="2">
                  <c:v>18.840579710144926</c:v>
                </c:pt>
                <c:pt idx="3">
                  <c:v>21.62857142857143</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23.5</c:v>
                </c:pt>
                <c:pt idx="1">
                  <c:v>23.5</c:v>
                </c:pt>
                <c:pt idx="2">
                  <c:v>23.5</c:v>
                </c:pt>
                <c:pt idx="3">
                  <c:v>23.5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300" t="str">
        <f>VLOOKUP('Filtered Data'!D1,'Filtered Data'!L1:O6,3,FALSE)</f>
        <v>District</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row r="3" spans="2:40" ht="19.5" customHeight="1">
      <c r="B3" s="287" t="str">
        <f>Data!B3</f>
        <v>Speed of Processing</v>
      </c>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row>
    <row r="4" spans="2:40">
      <c r="D4" s="3"/>
      <c r="E4" s="3"/>
    </row>
    <row r="5" spans="2:40" ht="15.75" customHeight="1">
      <c r="B5" s="281" t="s">
        <v>334</v>
      </c>
      <c r="C5" s="281"/>
      <c r="D5" s="281"/>
      <c r="E5" s="281"/>
      <c r="J5" s="285" t="s">
        <v>12</v>
      </c>
      <c r="K5" s="285"/>
      <c r="L5" s="285"/>
      <c r="M5" s="285"/>
      <c r="N5" s="285"/>
      <c r="O5" s="285"/>
      <c r="P5" s="285"/>
      <c r="Q5" s="285"/>
      <c r="R5" s="285"/>
      <c r="S5" s="285"/>
      <c r="W5" s="264" t="s">
        <v>361</v>
      </c>
      <c r="X5" s="265"/>
      <c r="Y5" s="265"/>
      <c r="Z5" s="265"/>
      <c r="AA5" s="265"/>
      <c r="AB5" s="265"/>
      <c r="AC5" s="265"/>
      <c r="AD5" s="265"/>
      <c r="AE5" s="265"/>
      <c r="AF5" s="265"/>
      <c r="AG5" s="265"/>
      <c r="AH5" s="265"/>
      <c r="AI5" s="265"/>
      <c r="AJ5" s="265"/>
      <c r="AK5" s="265"/>
      <c r="AL5" s="265"/>
      <c r="AM5" s="266"/>
    </row>
    <row r="6" spans="2:40" ht="17.25" customHeight="1">
      <c r="J6" s="285"/>
      <c r="K6" s="285"/>
      <c r="L6" s="285"/>
      <c r="M6" s="285"/>
      <c r="N6" s="285"/>
      <c r="O6" s="285"/>
      <c r="P6" s="285"/>
      <c r="Q6" s="285"/>
      <c r="R6" s="285"/>
      <c r="S6" s="285"/>
      <c r="W6" s="267" t="s">
        <v>900</v>
      </c>
      <c r="X6" s="268"/>
      <c r="Y6" s="268"/>
      <c r="Z6" s="268"/>
      <c r="AA6" s="268"/>
      <c r="AB6" s="268"/>
      <c r="AC6" s="268"/>
      <c r="AD6" s="268"/>
      <c r="AE6" s="268"/>
      <c r="AF6" s="268"/>
      <c r="AG6" s="268"/>
      <c r="AH6" s="268"/>
      <c r="AI6" s="268"/>
      <c r="AJ6" s="268"/>
      <c r="AK6" s="268"/>
      <c r="AL6" s="268"/>
      <c r="AM6" s="269"/>
    </row>
    <row r="7" spans="2:40" ht="12.75" customHeight="1">
      <c r="W7" s="267"/>
      <c r="X7" s="268"/>
      <c r="Y7" s="268"/>
      <c r="Z7" s="268"/>
      <c r="AA7" s="268"/>
      <c r="AB7" s="268"/>
      <c r="AC7" s="268"/>
      <c r="AD7" s="268"/>
      <c r="AE7" s="268"/>
      <c r="AF7" s="268"/>
      <c r="AG7" s="268"/>
      <c r="AH7" s="268"/>
      <c r="AI7" s="268"/>
      <c r="AJ7" s="268"/>
      <c r="AK7" s="268"/>
      <c r="AL7" s="268"/>
      <c r="AM7" s="269"/>
    </row>
    <row r="8" spans="2:40" ht="12.75" customHeight="1">
      <c r="B8" s="246" t="str">
        <f>IF('Filtered Data'!D1="L","County:","Type of Authority:")</f>
        <v>Type of Authority:</v>
      </c>
      <c r="C8" s="257"/>
      <c r="D8" s="257"/>
      <c r="E8" s="257"/>
      <c r="F8" s="257"/>
      <c r="G8" s="257"/>
      <c r="H8" s="257"/>
      <c r="I8" s="257"/>
      <c r="J8" s="3" t="str">
        <f>IF('Filtered Data'!D1="L",'Filtered Data'!I3,VLOOKUP('Filtered Data'!D1,'Filtered Data'!L1:O5,3,FALSE))</f>
        <v>District</v>
      </c>
      <c r="K8" s="3"/>
      <c r="L8" s="3"/>
      <c r="M8" s="3"/>
      <c r="N8" s="3"/>
      <c r="O8" s="3"/>
      <c r="P8" s="3"/>
      <c r="Q8" s="3"/>
      <c r="R8" s="3"/>
      <c r="W8" s="267"/>
      <c r="X8" s="268"/>
      <c r="Y8" s="268"/>
      <c r="Z8" s="268"/>
      <c r="AA8" s="268"/>
      <c r="AB8" s="268"/>
      <c r="AC8" s="268"/>
      <c r="AD8" s="268"/>
      <c r="AE8" s="268"/>
      <c r="AF8" s="268"/>
      <c r="AG8" s="268"/>
      <c r="AH8" s="268"/>
      <c r="AI8" s="268"/>
      <c r="AJ8" s="268"/>
      <c r="AK8" s="268"/>
      <c r="AL8" s="268"/>
      <c r="AM8" s="269"/>
    </row>
    <row r="9" spans="2:40" ht="12.75" customHeight="1">
      <c r="B9" s="246" t="str">
        <f>IF('Filtered Data'!D1="L","Rural Classification:","Region:")</f>
        <v>Region:</v>
      </c>
      <c r="C9" s="257"/>
      <c r="D9" s="257"/>
      <c r="E9" s="257"/>
      <c r="F9" s="257"/>
      <c r="G9" s="257"/>
      <c r="H9" s="257"/>
      <c r="I9" s="257"/>
      <c r="J9" s="3" t="str">
        <f>IF('Filtered Data'!D1="L",'Filtered Data'!H3,'Filtered Data'!G3)</f>
        <v>East of England</v>
      </c>
      <c r="K9" s="3"/>
      <c r="L9" s="3"/>
      <c r="M9" s="3"/>
      <c r="N9" s="3"/>
      <c r="O9" s="3"/>
      <c r="P9" s="3"/>
      <c r="Q9" s="3"/>
      <c r="R9" s="3"/>
      <c r="W9" s="267"/>
      <c r="X9" s="268"/>
      <c r="Y9" s="268"/>
      <c r="Z9" s="268"/>
      <c r="AA9" s="268"/>
      <c r="AB9" s="268"/>
      <c r="AC9" s="268"/>
      <c r="AD9" s="268"/>
      <c r="AE9" s="268"/>
      <c r="AF9" s="268"/>
      <c r="AG9" s="268"/>
      <c r="AH9" s="268"/>
      <c r="AI9" s="268"/>
      <c r="AJ9" s="268"/>
      <c r="AK9" s="268"/>
      <c r="AL9" s="268"/>
      <c r="AM9" s="269"/>
    </row>
    <row r="10" spans="2:40" ht="12.75" customHeight="1">
      <c r="B10" s="257" t="str">
        <f>IF('Filtered Data'!D1="L","",IF('Filtered Data'!D1="SC","Rural Classification:",IF('Filtered Data'!D1="UA","Rural Classification:","County:")))</f>
        <v>County:</v>
      </c>
      <c r="C10" s="257"/>
      <c r="D10" s="257"/>
      <c r="E10" s="257"/>
      <c r="F10" s="257"/>
      <c r="G10" s="257"/>
      <c r="H10" s="257"/>
      <c r="I10" s="257"/>
      <c r="J10" s="246" t="str">
        <f>IF('Filtered Data'!D1="L","",IF('Filtered Data'!D1="MD",'Filtered Data'!I3,IF('Filtered Data'!D1="SD",'Filtered Data'!I3,'Filtered Data'!H3)))</f>
        <v>Suffolk</v>
      </c>
      <c r="K10" s="246"/>
      <c r="L10" s="246"/>
      <c r="M10" s="246"/>
      <c r="N10" s="246"/>
      <c r="O10" s="246"/>
      <c r="P10" s="246"/>
      <c r="Q10" s="246"/>
      <c r="R10" s="246"/>
      <c r="W10" s="267"/>
      <c r="X10" s="268"/>
      <c r="Y10" s="268"/>
      <c r="Z10" s="268"/>
      <c r="AA10" s="268"/>
      <c r="AB10" s="268"/>
      <c r="AC10" s="268"/>
      <c r="AD10" s="268"/>
      <c r="AE10" s="268"/>
      <c r="AF10" s="268"/>
      <c r="AG10" s="268"/>
      <c r="AH10" s="268"/>
      <c r="AI10" s="268"/>
      <c r="AJ10" s="268"/>
      <c r="AK10" s="268"/>
      <c r="AL10" s="268"/>
      <c r="AM10" s="269"/>
    </row>
    <row r="11" spans="2:40" ht="12.75" customHeight="1">
      <c r="B11" s="257" t="str">
        <f>IF('Filtered Data'!D1="L","",IF('Filtered Data'!D1="SC","",IF('Filtered Data'!D1="UA","","Rural Classification:")))</f>
        <v>Rural Classification:</v>
      </c>
      <c r="C11" s="257"/>
      <c r="D11" s="257"/>
      <c r="E11" s="257"/>
      <c r="F11" s="257"/>
      <c r="G11" s="257"/>
      <c r="H11" s="257"/>
      <c r="I11" s="257"/>
      <c r="J11" s="3" t="str">
        <f>IF('Filtered Data'!D1="MD",'Filtered Data'!H3,IF('Filtered Data'!D1="SD",'Filtered Data'!H3,""))</f>
        <v xml:space="preserve">Predominantly Rural </v>
      </c>
      <c r="K11" s="3"/>
      <c r="W11" s="273" t="s">
        <v>364</v>
      </c>
      <c r="X11" s="274"/>
      <c r="Y11" s="274"/>
      <c r="Z11" s="274"/>
      <c r="AA11" s="274"/>
      <c r="AB11" s="274"/>
      <c r="AC11" s="274"/>
      <c r="AD11" s="274"/>
      <c r="AE11" s="274"/>
      <c r="AF11" s="274"/>
      <c r="AG11" s="274"/>
      <c r="AH11" s="274"/>
      <c r="AI11" s="274"/>
      <c r="AJ11" s="274"/>
      <c r="AK11" s="274"/>
      <c r="AL11" s="274"/>
      <c r="AM11" s="275"/>
    </row>
    <row r="12" spans="2:40" ht="12.75" customHeight="1">
      <c r="W12" s="311" t="s">
        <v>902</v>
      </c>
      <c r="X12" s="312"/>
      <c r="Y12" s="312"/>
      <c r="Z12" s="312"/>
      <c r="AA12" s="312"/>
      <c r="AB12" s="312"/>
      <c r="AC12" s="312"/>
      <c r="AD12" s="312"/>
      <c r="AE12" s="312"/>
      <c r="AF12" s="312"/>
      <c r="AG12" s="312"/>
      <c r="AH12" s="312"/>
      <c r="AI12" s="312"/>
      <c r="AJ12" s="312"/>
      <c r="AK12" s="312"/>
      <c r="AL12" s="312"/>
      <c r="AM12" s="313"/>
    </row>
    <row r="13" spans="2:40" ht="12.75" customHeight="1">
      <c r="B13" s="19"/>
      <c r="C13" s="19"/>
      <c r="D13" s="19"/>
      <c r="E13" s="19"/>
      <c r="F13" s="19"/>
      <c r="G13" s="19"/>
      <c r="H13" s="19"/>
      <c r="I13" s="19"/>
      <c r="J13" s="3"/>
      <c r="K13" s="3"/>
      <c r="L13" s="3"/>
      <c r="M13" s="3"/>
      <c r="N13" s="3"/>
      <c r="O13" s="3"/>
      <c r="P13" s="3"/>
      <c r="Q13" s="3"/>
      <c r="R13" s="3"/>
      <c r="W13" s="258" t="s">
        <v>365</v>
      </c>
      <c r="X13" s="259"/>
      <c r="Y13" s="259"/>
      <c r="Z13" s="259"/>
      <c r="AA13" s="259"/>
      <c r="AB13" s="259"/>
      <c r="AC13" s="259"/>
      <c r="AD13" s="259"/>
      <c r="AE13" s="259"/>
      <c r="AF13" s="259"/>
      <c r="AG13" s="259"/>
      <c r="AH13" s="259"/>
      <c r="AI13" s="259"/>
      <c r="AJ13" s="259"/>
      <c r="AK13" s="259"/>
      <c r="AL13" s="259"/>
      <c r="AM13" s="260"/>
    </row>
    <row r="14" spans="2:40" ht="25.5" customHeight="1">
      <c r="B14" s="19"/>
      <c r="C14" s="19"/>
      <c r="D14" s="19"/>
      <c r="E14" s="19"/>
      <c r="F14" s="19"/>
      <c r="G14" s="19"/>
      <c r="H14" s="19"/>
      <c r="I14" s="19"/>
      <c r="J14" s="3"/>
      <c r="K14" s="3"/>
      <c r="L14" s="3"/>
      <c r="M14" s="3"/>
      <c r="N14" s="3"/>
      <c r="O14" s="3"/>
      <c r="P14" s="3"/>
      <c r="Q14" s="3"/>
      <c r="R14" s="3"/>
      <c r="W14" s="270" t="str">
        <f>HLOOKUP(W6,Data!4:6,3,FALSE)</f>
        <v>www.gov.uk</v>
      </c>
      <c r="X14" s="271"/>
      <c r="Y14" s="271"/>
      <c r="Z14" s="271"/>
      <c r="AA14" s="271"/>
      <c r="AB14" s="271"/>
      <c r="AC14" s="271"/>
      <c r="AD14" s="271"/>
      <c r="AE14" s="271"/>
      <c r="AF14" s="271"/>
      <c r="AG14" s="271"/>
      <c r="AH14" s="271"/>
      <c r="AI14" s="271"/>
      <c r="AJ14" s="271"/>
      <c r="AK14" s="271"/>
      <c r="AL14" s="271"/>
      <c r="AM14" s="272"/>
    </row>
    <row r="15" spans="2:40"/>
    <row r="16" spans="2:40">
      <c r="B16" s="247" t="str">
        <f>W6&amp;" - "&amp;W12</f>
        <v>Housing Benefit - New Claims - Q1 2023/24</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78"/>
    </row>
    <row r="17" spans="2:42">
      <c r="B17" s="249"/>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79"/>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3" t="s">
        <v>340</v>
      </c>
      <c r="F32" s="284"/>
      <c r="G32" s="284"/>
      <c r="H32" s="284"/>
      <c r="I32" s="284"/>
      <c r="J32" s="284"/>
      <c r="K32" s="282">
        <f>IF('Filtered Data'!$H$8="..",'Filtered Data'!O10,'Filtered Data'!O10/100)</f>
        <v>15</v>
      </c>
      <c r="L32" s="282"/>
      <c r="M32" s="282"/>
      <c r="N32" s="292" t="s">
        <v>351</v>
      </c>
      <c r="O32" s="292"/>
      <c r="P32" s="292"/>
      <c r="Q32" s="292"/>
      <c r="R32" s="292"/>
      <c r="S32" s="292"/>
      <c r="T32" s="282">
        <f>IF('Filtered Data'!$H$8="..",'Filtered Data'!P10,'Filtered Data'!P10/100)</f>
        <v>19</v>
      </c>
      <c r="U32" s="282"/>
      <c r="V32" s="282"/>
      <c r="W32" s="282"/>
      <c r="X32" s="280" t="s">
        <v>352</v>
      </c>
      <c r="Y32" s="280"/>
      <c r="Z32" s="280"/>
      <c r="AA32" s="280"/>
      <c r="AB32" s="280"/>
      <c r="AC32" s="282">
        <f>IF('Filtered Data'!$H$8="..",'Filtered Data'!Q10,'Filtered Data'!Q10/100)</f>
        <v>23.5</v>
      </c>
      <c r="AD32" s="282"/>
      <c r="AE32" s="282"/>
      <c r="AF32" s="296" t="s">
        <v>341</v>
      </c>
      <c r="AG32" s="296"/>
      <c r="AH32" s="296"/>
      <c r="AI32" s="296"/>
      <c r="AJ32" s="296"/>
      <c r="AK32" s="296"/>
      <c r="AL32" s="296"/>
      <c r="AM32" s="9"/>
      <c r="AP32" s="56"/>
    </row>
    <row r="33" spans="2:16384">
      <c r="B33" s="4" t="str">
        <f>"The graph &amp; quartile information show data for all "&amp;V37&amp;" "&amp;VLOOKUP('Filtered Data'!D1,'Filtered Data'!L1:O6,3,FALSE)&amp;" councils in England."</f>
        <v>The graph &amp; quartile information show data for all 163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7">
        <f>IF(ISERROR(IF('Filtered Data'!$H$8="%.",(VLOOKUP(J5,'Filtered Data'!C:H,4,FALSE))/100,(VLOOKUP(J5,'Filtered Data'!C:H,4,FALSE)))),"",(IF('Filtered Data'!$H$8="%.",(VLOOKUP(J5,'Filtered Data'!C:H,4,FALSE))/100,(VLOOKUP(J5,'Filtered Data'!C:H,4,FALSE)))))</f>
        <v>17</v>
      </c>
      <c r="M35" s="277"/>
      <c r="N35" s="277"/>
      <c r="O35" s="277"/>
      <c r="P35" s="92"/>
      <c r="Q35" s="277" t="s">
        <v>353</v>
      </c>
      <c r="R35" s="277"/>
      <c r="S35" s="277"/>
      <c r="T35" s="277"/>
      <c r="U35" s="277"/>
      <c r="V35" s="277"/>
      <c r="W35" s="277"/>
      <c r="AP35" s="56"/>
    </row>
    <row r="36" spans="2:16384" ht="12.75" customHeight="1">
      <c r="B36" s="276" t="str">
        <f>'Filtered Data'!R8&amp;" Quartile"</f>
        <v>Second Quartile</v>
      </c>
      <c r="C36" s="276"/>
      <c r="D36" s="276"/>
      <c r="E36" s="276"/>
      <c r="F36" s="276"/>
      <c r="G36" s="276"/>
      <c r="H36" s="276"/>
      <c r="I36" s="276"/>
      <c r="J36" s="276"/>
      <c r="K36" s="276"/>
      <c r="L36" s="276"/>
      <c r="M36" s="276"/>
      <c r="N36" s="276"/>
      <c r="O36" s="276"/>
      <c r="P36" s="276"/>
      <c r="Q36" s="276"/>
      <c r="R36" s="276"/>
      <c r="S36" s="276"/>
      <c r="T36" s="276"/>
      <c r="U36" s="276"/>
      <c r="V36" s="276"/>
      <c r="W36" s="276"/>
      <c r="Z36" s="17" t="s">
        <v>357</v>
      </c>
      <c r="AB36" s="295" t="s">
        <v>359</v>
      </c>
      <c r="AC36" s="295"/>
      <c r="AD36" s="295"/>
      <c r="AE36" s="295"/>
      <c r="AF36" s="295"/>
      <c r="AG36" s="295"/>
      <c r="AH36" s="295"/>
      <c r="AI36" s="295"/>
      <c r="AJ36" s="295"/>
      <c r="AK36" s="295"/>
      <c r="AL36" s="295"/>
      <c r="AM36" s="110"/>
      <c r="AP36" s="56"/>
    </row>
    <row r="37" spans="2:16384" ht="12.75" customHeight="1">
      <c r="B37" s="93" t="str">
        <f>VLOOKUP('Filtered Data'!D1,'Filtered Data'!L1:O6,2,FALSE)</f>
        <v>Districts</v>
      </c>
      <c r="C37" s="93"/>
      <c r="D37" s="93"/>
      <c r="E37" s="93"/>
      <c r="F37" s="93"/>
      <c r="G37" s="93"/>
      <c r="H37" s="93"/>
      <c r="I37" s="93"/>
      <c r="J37" s="316" t="s">
        <v>798</v>
      </c>
      <c r="K37" s="94" t="str">
        <f>IF(Q37="","",IF('Filtered Data'!I8="D",IF($L$35&gt;=L37,"J","L"),IF('Filtered Data'!I8="A",IF($L$35&lt;=L37,"J","L"))))</f>
        <v>J</v>
      </c>
      <c r="L37" s="291">
        <f>'Filtered Data'!M9</f>
        <v>20.067484662576685</v>
      </c>
      <c r="M37" s="291"/>
      <c r="N37" s="291"/>
      <c r="O37" s="291"/>
      <c r="P37" s="95"/>
      <c r="Q37" s="290">
        <f>VLOOKUP(J5,'Filtered Data'!C:I,7,FALSE)</f>
        <v>53</v>
      </c>
      <c r="R37" s="290"/>
      <c r="S37" s="96"/>
      <c r="T37" s="97" t="s">
        <v>354</v>
      </c>
      <c r="U37" s="98"/>
      <c r="V37" s="290">
        <f>COUNT('Filtered Data'!I11:I333)</f>
        <v>163</v>
      </c>
      <c r="W37" s="290"/>
      <c r="AB37" s="295"/>
      <c r="AC37" s="295"/>
      <c r="AD37" s="295"/>
      <c r="AE37" s="295"/>
      <c r="AF37" s="295"/>
      <c r="AG37" s="295"/>
      <c r="AH37" s="295"/>
      <c r="AI37" s="295"/>
      <c r="AJ37" s="295"/>
      <c r="AK37" s="295"/>
      <c r="AL37" s="295"/>
      <c r="AM37" s="110"/>
      <c r="AP37" s="56"/>
    </row>
    <row r="38" spans="2:16384">
      <c r="B38" s="93" t="str">
        <f>IF('Filtered Data'!D1="L","Family",IF('Filtered Data'!D1="SD",VLOOKUP(J5,classifications!C:J,6,FALSE),"Rural"))</f>
        <v xml:space="preserve">Predominantly Rural </v>
      </c>
      <c r="C38" s="93"/>
      <c r="D38" s="93"/>
      <c r="E38" s="93"/>
      <c r="F38" s="93"/>
      <c r="G38" s="93"/>
      <c r="H38" s="93"/>
      <c r="I38" s="93"/>
      <c r="J38" s="317"/>
      <c r="K38" s="94" t="str">
        <f>IF(Q38="","",IF('Filtered Data'!I8="D",IF($L$35&gt;=L38,"J","L"),IF('Filtered Data'!I8="A",IF($L$35&lt;=L38,"J","L"))))</f>
        <v>J</v>
      </c>
      <c r="L38" s="291">
        <f>IF('Filtered Data'!D1="L",'Filtered Data'!AG9,'Filtered Data'!Y9)</f>
        <v>20.576271186440678</v>
      </c>
      <c r="M38" s="291"/>
      <c r="N38" s="291"/>
      <c r="O38" s="291"/>
      <c r="P38" s="95"/>
      <c r="Q38" s="294">
        <f>IF(ISERROR(IF('Filtered Data'!D1="L",VLOOKUP(J5,'Filtered Data'!AF11:AH25,3,FALSE),VLOOKUP(J5,'Filtered Data'!$L$11:$Z$333,15,FALSE))),"",(IF('Filtered Data'!D1="L",VLOOKUP(J5,'Filtered Data'!AF11:AH25,3,FALSE),VLOOKUP(J5,'Filtered Data'!$L$11:$Z$333,15,FALSE))))</f>
        <v>21</v>
      </c>
      <c r="R38" s="294"/>
      <c r="S38" s="297" t="s">
        <v>354</v>
      </c>
      <c r="T38" s="291"/>
      <c r="U38" s="291"/>
      <c r="V38" s="290">
        <f>IF('Filtered Data'!D1="L",16,COUNT('Filtered Data'!Z:Z))</f>
        <v>59</v>
      </c>
      <c r="W38" s="290"/>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7"/>
      <c r="K39" s="94" t="str">
        <f>IF(Q39="","",IF('Filtered Data'!I8="D",IF($L$35&gt;=L39,"J","L"),IF('Filtered Data'!I8="A",IF($L$35&lt;=L39,"J","L"))))</f>
        <v>J</v>
      </c>
      <c r="L39" s="291">
        <f>IF('Filtered Data'!D1="L","",IF('Filtered Data'!D1="SD",'Filtered Data'!AJ9,'Filtered Data'!AQ9))</f>
        <v>20.8</v>
      </c>
      <c r="M39" s="291"/>
      <c r="N39" s="291"/>
      <c r="O39" s="291"/>
      <c r="P39" s="95"/>
      <c r="Q39" s="290">
        <f>IF(ISERROR(IF('Filtered Data'!D1="L","",IF('Filtered Data'!D1="SD",VLOOKUP(J5,'Filtered Data'!L:AK,26,FALSE),(VLOOKUP(J5,'Filtered Data'!L:AR,33,FALSE))))),"",(IF('Filtered Data'!D1="L","",IF('Filtered Data'!D1="SD",VLOOKUP(J5,'Filtered Data'!L:AK,26,FALSE),(VLOOKUP(J5,'Filtered Data'!L:AR,33,FALSE))))))</f>
        <v>1</v>
      </c>
      <c r="R39" s="290"/>
      <c r="S39" s="96"/>
      <c r="T39" s="98" t="str">
        <f>IF(B39="","","out of")</f>
        <v>out of</v>
      </c>
      <c r="U39" s="98"/>
      <c r="V39" s="290">
        <f>IF('Filtered Data'!D1="L","",IF('Filtered Data'!D1="SD",COUNT('Filtered Data'!AK11:AK333),(COUNT('Filtered Data'!AQ11:AQ333))))</f>
        <v>5</v>
      </c>
      <c r="W39" s="290"/>
      <c r="Z39" s="11" t="s">
        <v>358</v>
      </c>
      <c r="AB39" s="295" t="s">
        <v>360</v>
      </c>
      <c r="AC39" s="295"/>
      <c r="AD39" s="295"/>
      <c r="AE39" s="295"/>
      <c r="AF39" s="295"/>
      <c r="AG39" s="295"/>
      <c r="AH39" s="295"/>
      <c r="AI39" s="295"/>
      <c r="AJ39" s="295"/>
      <c r="AK39" s="295"/>
      <c r="AL39" s="295"/>
      <c r="AM39" s="295"/>
      <c r="AP39" s="56"/>
    </row>
    <row r="40" spans="2:16384" ht="12.75" customHeight="1">
      <c r="B40" s="106"/>
      <c r="C40" s="106"/>
      <c r="D40" s="106"/>
      <c r="E40" s="106"/>
      <c r="F40" s="106"/>
      <c r="G40" s="106"/>
      <c r="H40" s="106"/>
      <c r="I40" s="106"/>
      <c r="J40" s="105"/>
      <c r="K40" s="107"/>
      <c r="L40" s="288"/>
      <c r="M40" s="288"/>
      <c r="N40" s="288"/>
      <c r="O40" s="288"/>
      <c r="P40" s="108"/>
      <c r="Q40" s="298"/>
      <c r="R40" s="298"/>
      <c r="S40" s="288"/>
      <c r="T40" s="289"/>
      <c r="U40" s="289"/>
      <c r="V40" s="298"/>
      <c r="W40" s="298"/>
      <c r="AB40" s="295"/>
      <c r="AC40" s="295"/>
      <c r="AD40" s="295"/>
      <c r="AE40" s="295"/>
      <c r="AF40" s="295"/>
      <c r="AG40" s="295"/>
      <c r="AH40" s="295"/>
      <c r="AI40" s="295"/>
      <c r="AJ40" s="295"/>
      <c r="AK40" s="295"/>
      <c r="AL40" s="295"/>
      <c r="AM40" s="295"/>
      <c r="AP40" s="56"/>
    </row>
    <row r="41" spans="2:16384">
      <c r="B41" s="224"/>
      <c r="C41" s="224"/>
      <c r="D41" s="224"/>
      <c r="E41" s="224"/>
      <c r="F41" s="224"/>
      <c r="G41" s="224"/>
      <c r="H41" s="224"/>
      <c r="I41" s="224"/>
      <c r="J41" s="105"/>
      <c r="K41" s="225" t="str">
        <f>IF(B41="","",IF('Filtered Data'!D1="UA","",(IF($L$35&gt;=L41,"J","L"))))</f>
        <v/>
      </c>
      <c r="L41" s="309"/>
      <c r="M41" s="309"/>
      <c r="N41" s="309"/>
      <c r="O41" s="309"/>
      <c r="P41" s="226"/>
      <c r="Q41" s="299"/>
      <c r="R41" s="299"/>
      <c r="S41" s="293"/>
      <c r="T41" s="293"/>
      <c r="U41" s="293"/>
      <c r="V41" s="299"/>
      <c r="W41" s="299"/>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5" t="s">
        <v>356</v>
      </c>
      <c r="C43" s="306"/>
      <c r="D43" s="306"/>
      <c r="E43" s="306"/>
      <c r="F43" s="306"/>
      <c r="G43" s="306"/>
      <c r="H43" s="306"/>
      <c r="I43" s="306"/>
      <c r="J43" s="306"/>
      <c r="K43" s="306"/>
      <c r="L43" s="306"/>
      <c r="M43" s="306"/>
      <c r="N43" s="306"/>
      <c r="O43" s="301" t="str">
        <f>W6&amp;" - "&amp;W12</f>
        <v>Housing Benefit - New Claims - Q1 2023/24</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56"/>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6">
        <f>IF('Filtered Data'!$H$8="..",L35,L35*100)</f>
        <v>17</v>
      </c>
      <c r="F48" s="286"/>
      <c r="G48" s="286"/>
      <c r="H48" s="286"/>
      <c r="K48" s="241">
        <f>IF('Filtered Data'!$H$8="..",K$32,K$32*100)</f>
        <v>15</v>
      </c>
      <c r="L48" s="241"/>
      <c r="M48" s="241">
        <f>IF('Filtered Data'!$H$8="..",T$32,T$32*100)</f>
        <v>19</v>
      </c>
      <c r="N48" s="241"/>
      <c r="O48" s="241">
        <f>IF('Filtered Data'!$H$8="..",AC$32,AC$32*100)</f>
        <v>23.5</v>
      </c>
      <c r="P48" s="241"/>
      <c r="AM48" s="6"/>
      <c r="AP48" s="56"/>
    </row>
    <row r="49" spans="2:42">
      <c r="B49" s="5"/>
      <c r="D49" t="str">
        <f>B37</f>
        <v>Districts</v>
      </c>
      <c r="E49" s="286">
        <f>IF('Filtered Data'!$H$8="..",L37,L37*100)</f>
        <v>20.067484662576685</v>
      </c>
      <c r="F49" s="286"/>
      <c r="G49" s="286"/>
      <c r="H49" s="286"/>
      <c r="K49" s="241">
        <f>IF('Filtered Data'!$H$8="..",K$32,K$32*100)</f>
        <v>15</v>
      </c>
      <c r="L49" s="241"/>
      <c r="M49" s="241">
        <f>IF('Filtered Data'!$H$8="..",T$32,T$32*100)</f>
        <v>19</v>
      </c>
      <c r="N49" s="241"/>
      <c r="O49" s="241">
        <f>IF('Filtered Data'!$H$8="..",AC$32,AC$32*100)</f>
        <v>23.5</v>
      </c>
      <c r="P49" s="241"/>
      <c r="AM49" s="6"/>
      <c r="AP49" s="56"/>
    </row>
    <row r="50" spans="2:42">
      <c r="B50" s="5"/>
      <c r="D50" s="64" t="str">
        <f>B39</f>
        <v>Suffolk</v>
      </c>
      <c r="E50" s="286">
        <f>IF('Filtered Data'!$H$8="..",L39,L39*100)</f>
        <v>20.8</v>
      </c>
      <c r="F50" s="286"/>
      <c r="G50" s="286"/>
      <c r="H50" s="286"/>
      <c r="K50" s="241">
        <f>IF('Filtered Data'!$H$8="..",K$32,K$32*100)</f>
        <v>15</v>
      </c>
      <c r="L50" s="241"/>
      <c r="M50" s="241">
        <f>IF('Filtered Data'!$H$8="..",T$32,T$32*100)</f>
        <v>19</v>
      </c>
      <c r="N50" s="241"/>
      <c r="O50" s="241">
        <f>IF('Filtered Data'!$H$8="..",AC$32,AC$32*100)</f>
        <v>23.5</v>
      </c>
      <c r="P50" s="241"/>
      <c r="AM50" s="6"/>
      <c r="AP50" s="56"/>
    </row>
    <row r="51" spans="2:42">
      <c r="B51" s="5"/>
      <c r="D51" s="227" t="str">
        <f>B38</f>
        <v xml:space="preserve">Predominantly Rural </v>
      </c>
      <c r="E51" s="286">
        <f>IF('Filtered Data'!$H$8="..",L38,L38*100)</f>
        <v>20.576271186440678</v>
      </c>
      <c r="F51" s="286"/>
      <c r="G51" s="286"/>
      <c r="H51" s="286"/>
      <c r="K51" s="241">
        <f>IF('Filtered Data'!$H$8="..",K$32,K$32*100)</f>
        <v>15</v>
      </c>
      <c r="L51" s="241"/>
      <c r="M51" s="241">
        <f>IF('Filtered Data'!$H$8="..",T$32,T$32*100)</f>
        <v>19</v>
      </c>
      <c r="N51" s="241"/>
      <c r="O51" s="241">
        <f>IF('Filtered Data'!$H$8="..",AC$32,AC$32*100)</f>
        <v>23.5</v>
      </c>
      <c r="P51" s="241"/>
      <c r="AM51" s="6"/>
      <c r="AP51" s="56"/>
    </row>
    <row r="52" spans="2:42">
      <c r="B52" s="5"/>
      <c r="E52" s="286"/>
      <c r="F52" s="286"/>
      <c r="G52" s="286"/>
      <c r="H52" s="286"/>
      <c r="K52" s="241"/>
      <c r="L52" s="241"/>
      <c r="M52" s="241"/>
      <c r="N52" s="241"/>
      <c r="O52" s="241"/>
      <c r="P52" s="241"/>
      <c r="AM52" s="6"/>
      <c r="AP52" s="56"/>
    </row>
    <row r="53" spans="2:42">
      <c r="B53" s="5"/>
      <c r="E53" s="310"/>
      <c r="F53" s="310"/>
      <c r="G53" s="310"/>
      <c r="H53" s="310"/>
      <c r="K53" s="241"/>
      <c r="L53" s="241"/>
      <c r="M53" s="241"/>
      <c r="N53" s="241"/>
      <c r="O53" s="241"/>
      <c r="P53" s="241"/>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1" t="str">
        <f>B3</f>
        <v>Speed of Processing</v>
      </c>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P59" s="56"/>
    </row>
    <row r="60" spans="2:42">
      <c r="AP60" s="56"/>
    </row>
    <row r="61" spans="2:42" ht="12" customHeight="1">
      <c r="B61" s="1" t="str">
        <f>W6&amp;" - "&amp;W12</f>
        <v>Housing Benefit - New Claims - Q1 2023/24</v>
      </c>
      <c r="AP61" s="56"/>
    </row>
    <row r="62" spans="2:42" ht="12" customHeight="1">
      <c r="AP62" s="56"/>
    </row>
    <row r="63" spans="2:42" ht="12" customHeight="1">
      <c r="B63" s="1" t="s">
        <v>362</v>
      </c>
      <c r="AP63" s="56"/>
    </row>
    <row r="64" spans="2:42" ht="12" customHeight="1">
      <c r="AP64" s="56"/>
    </row>
    <row r="65" spans="2:42" ht="12" customHeight="1">
      <c r="B65" s="256" t="s">
        <v>353</v>
      </c>
      <c r="C65" s="256"/>
      <c r="D65" s="256"/>
      <c r="E65" s="244" t="s">
        <v>333</v>
      </c>
      <c r="F65" s="244"/>
      <c r="G65" s="244"/>
      <c r="H65" s="244"/>
      <c r="I65" s="244"/>
      <c r="J65" s="244"/>
      <c r="K65" s="244"/>
      <c r="L65" s="244"/>
      <c r="M65" s="244"/>
      <c r="N65" s="244"/>
      <c r="O65" s="244"/>
      <c r="P65" s="244"/>
      <c r="Q65" s="244"/>
      <c r="R65" s="244"/>
      <c r="S65" s="244"/>
      <c r="T65" s="244"/>
      <c r="U65" s="256" t="s">
        <v>363</v>
      </c>
      <c r="V65" s="256"/>
      <c r="W65" s="256"/>
      <c r="X65" s="256"/>
      <c r="Y65" s="1"/>
      <c r="Z65" s="1"/>
      <c r="AA65" s="1"/>
      <c r="AB65" s="1"/>
      <c r="AC65" s="4"/>
      <c r="AD65" s="1"/>
      <c r="AE65" s="1"/>
      <c r="AF65" s="1"/>
      <c r="AG65" s="1"/>
      <c r="AI65" s="1"/>
      <c r="AJ65" s="1"/>
      <c r="AK65" s="1"/>
      <c r="AL65" s="1"/>
      <c r="AP65" s="56"/>
    </row>
    <row r="66" spans="2:42" ht="12" customHeight="1">
      <c r="B66" s="263">
        <v>1</v>
      </c>
      <c r="C66" s="241"/>
      <c r="D66" s="241"/>
      <c r="E66" s="246" t="str">
        <f>VLOOKUP(B66,'Filtered Data'!K:L,2,FALSE)</f>
        <v>Rushmoor</v>
      </c>
      <c r="F66" s="246"/>
      <c r="G66" s="246"/>
      <c r="H66" s="246"/>
      <c r="I66" s="246"/>
      <c r="J66" s="246"/>
      <c r="K66" s="246"/>
      <c r="L66" s="246"/>
      <c r="M66" s="246"/>
      <c r="N66" s="246"/>
      <c r="O66" s="246"/>
      <c r="P66" s="246"/>
      <c r="Q66" s="246"/>
      <c r="R66" s="246"/>
      <c r="S66" s="246"/>
      <c r="T66" s="246"/>
      <c r="U66" s="243">
        <f>IF('Filtered Data'!$H$8="%.",(VLOOKUP(B66,'Filtered Data'!K:M,3,FALSE))/100,VLOOKUP(B66,'Filtered Data'!K:M,3,FALSE))</f>
        <v>4</v>
      </c>
      <c r="V66" s="243"/>
      <c r="W66" s="243"/>
      <c r="X66" s="243"/>
      <c r="Y66" s="132" t="str">
        <f>IF((VLOOKUP(E66,classifications!C:K,9,FALSE))="Sparse","S","")</f>
        <v/>
      </c>
      <c r="Z66" s="132"/>
      <c r="AA66" s="132"/>
      <c r="AB66" s="132"/>
      <c r="AC66" s="132"/>
      <c r="AD66" s="254"/>
      <c r="AE66" s="254"/>
      <c r="AF66" s="254"/>
      <c r="AG66" s="254"/>
      <c r="AH66" s="254"/>
      <c r="AI66" s="254"/>
      <c r="AJ66" s="254"/>
      <c r="AK66" s="254"/>
      <c r="AL66" s="254"/>
      <c r="AP66" s="56"/>
    </row>
    <row r="67" spans="2:42" ht="12" customHeight="1">
      <c r="B67" s="263">
        <v>2</v>
      </c>
      <c r="C67" s="241"/>
      <c r="D67" s="241"/>
      <c r="E67" s="246" t="str">
        <f>VLOOKUP(B67,'Filtered Data'!K:L,2,FALSE)</f>
        <v>Three Rivers</v>
      </c>
      <c r="F67" s="246"/>
      <c r="G67" s="246"/>
      <c r="H67" s="246"/>
      <c r="I67" s="246"/>
      <c r="J67" s="246"/>
      <c r="K67" s="246"/>
      <c r="L67" s="246"/>
      <c r="M67" s="246"/>
      <c r="N67" s="246"/>
      <c r="O67" s="246"/>
      <c r="P67" s="246"/>
      <c r="Q67" s="246"/>
      <c r="R67" s="246"/>
      <c r="S67" s="246"/>
      <c r="T67" s="246"/>
      <c r="U67" s="243">
        <f>IF('Filtered Data'!$H$8="%.",(VLOOKUP(B67,'Filtered Data'!K:M,3,FALSE))/100,VLOOKUP(B67,'Filtered Data'!K:M,3,FALSE))</f>
        <v>6</v>
      </c>
      <c r="V67" s="243"/>
      <c r="W67" s="243"/>
      <c r="X67" s="243"/>
      <c r="Y67" s="132" t="str">
        <f>IF((VLOOKUP(E67,classifications!C:K,9,FALSE))="Sparse","S","")</f>
        <v/>
      </c>
      <c r="Z67" s="132"/>
      <c r="AA67" s="132"/>
      <c r="AB67" s="132"/>
      <c r="AC67" s="132"/>
      <c r="AD67" s="254"/>
      <c r="AE67" s="254"/>
      <c r="AF67" s="254"/>
      <c r="AG67" s="254"/>
      <c r="AH67" s="254"/>
      <c r="AI67" s="254"/>
      <c r="AJ67" s="254"/>
      <c r="AK67" s="254"/>
      <c r="AL67" s="254"/>
      <c r="AP67" s="56"/>
    </row>
    <row r="68" spans="2:42" ht="12" customHeight="1">
      <c r="B68" s="263">
        <v>3</v>
      </c>
      <c r="C68" s="241"/>
      <c r="D68" s="241"/>
      <c r="E68" s="246" t="str">
        <f>VLOOKUP(B68,'Filtered Data'!K:L,2,FALSE)</f>
        <v>Pendle</v>
      </c>
      <c r="F68" s="246"/>
      <c r="G68" s="246"/>
      <c r="H68" s="246"/>
      <c r="I68" s="246"/>
      <c r="J68" s="246"/>
      <c r="K68" s="246"/>
      <c r="L68" s="246"/>
      <c r="M68" s="246"/>
      <c r="N68" s="246"/>
      <c r="O68" s="246"/>
      <c r="P68" s="246"/>
      <c r="Q68" s="246"/>
      <c r="R68" s="246"/>
      <c r="S68" s="246"/>
      <c r="T68" s="246"/>
      <c r="U68" s="243">
        <f>IF('Filtered Data'!$H$8="%.",(VLOOKUP(B68,'Filtered Data'!K:M,3,FALSE))/100,VLOOKUP(B68,'Filtered Data'!K:M,3,FALSE))</f>
        <v>7</v>
      </c>
      <c r="V68" s="243"/>
      <c r="W68" s="243"/>
      <c r="X68" s="243"/>
      <c r="Y68" s="132" t="str">
        <f>IF((VLOOKUP(E68,classifications!C:K,9,FALSE))="Sparse","S","")</f>
        <v/>
      </c>
      <c r="Z68" s="132"/>
      <c r="AA68" s="132"/>
      <c r="AB68" s="132"/>
      <c r="AC68" s="132"/>
      <c r="AD68" s="254"/>
      <c r="AE68" s="254"/>
      <c r="AF68" s="254"/>
      <c r="AG68" s="254"/>
      <c r="AH68" s="254"/>
      <c r="AI68" s="254"/>
      <c r="AJ68" s="254"/>
      <c r="AK68" s="254"/>
      <c r="AL68" s="254"/>
      <c r="AP68" s="56"/>
    </row>
    <row r="69" spans="2:42" ht="12" customHeight="1">
      <c r="B69" s="263">
        <v>4</v>
      </c>
      <c r="C69" s="241"/>
      <c r="D69" s="241"/>
      <c r="E69" s="246" t="str">
        <f>VLOOKUP(B69,'Filtered Data'!K:L,2,FALSE)</f>
        <v>Broxtowe</v>
      </c>
      <c r="F69" s="246"/>
      <c r="G69" s="246"/>
      <c r="H69" s="246"/>
      <c r="I69" s="246"/>
      <c r="J69" s="246"/>
      <c r="K69" s="246"/>
      <c r="L69" s="246"/>
      <c r="M69" s="246"/>
      <c r="N69" s="246"/>
      <c r="O69" s="246"/>
      <c r="P69" s="246"/>
      <c r="Q69" s="246"/>
      <c r="R69" s="246"/>
      <c r="S69" s="246"/>
      <c r="T69" s="246"/>
      <c r="U69" s="243">
        <f>IF('Filtered Data'!$H$8="%.",(VLOOKUP(B69,'Filtered Data'!K:M,3,FALSE))/100,VLOOKUP(B69,'Filtered Data'!K:M,3,FALSE))</f>
        <v>8</v>
      </c>
      <c r="V69" s="243"/>
      <c r="W69" s="243"/>
      <c r="X69" s="243"/>
      <c r="Y69" s="132" t="str">
        <f>IF((VLOOKUP(E69,classifications!C:K,9,FALSE))="Sparse","S","")</f>
        <v/>
      </c>
      <c r="Z69" s="132"/>
      <c r="AA69" s="132"/>
      <c r="AB69" s="132"/>
      <c r="AC69" s="132"/>
      <c r="AD69" s="254"/>
      <c r="AE69" s="254"/>
      <c r="AF69" s="254"/>
      <c r="AG69" s="254"/>
      <c r="AH69" s="254"/>
      <c r="AI69" s="254"/>
      <c r="AJ69" s="254"/>
      <c r="AK69" s="254"/>
      <c r="AL69" s="254"/>
      <c r="AP69" s="56"/>
    </row>
    <row r="70" spans="2:42" ht="12" customHeight="1">
      <c r="B70" s="263">
        <v>5</v>
      </c>
      <c r="C70" s="241"/>
      <c r="D70" s="241"/>
      <c r="E70" s="246" t="str">
        <f>VLOOKUP(B70,'Filtered Data'!K:L,2,FALSE)</f>
        <v>Burnley</v>
      </c>
      <c r="F70" s="246"/>
      <c r="G70" s="246"/>
      <c r="H70" s="246"/>
      <c r="I70" s="246"/>
      <c r="J70" s="246"/>
      <c r="K70" s="246"/>
      <c r="L70" s="246"/>
      <c r="M70" s="246"/>
      <c r="N70" s="246"/>
      <c r="O70" s="246"/>
      <c r="P70" s="246"/>
      <c r="Q70" s="246"/>
      <c r="R70" s="246"/>
      <c r="S70" s="246"/>
      <c r="T70" s="246"/>
      <c r="U70" s="243">
        <f>IF('Filtered Data'!$H$8="%.",(VLOOKUP(B70,'Filtered Data'!K:M,3,FALSE))/100,VLOOKUP(B70,'Filtered Data'!K:M,3,FALSE))</f>
        <v>8</v>
      </c>
      <c r="V70" s="243"/>
      <c r="W70" s="243"/>
      <c r="X70" s="243"/>
      <c r="Y70" s="132" t="str">
        <f>IF((VLOOKUP(E70,classifications!C:K,9,FALSE))="Sparse","S","")</f>
        <v/>
      </c>
      <c r="Z70" s="132"/>
      <c r="AA70" s="132"/>
      <c r="AB70" s="132"/>
      <c r="AC70" s="132"/>
      <c r="AD70" s="254"/>
      <c r="AE70" s="254"/>
      <c r="AF70" s="254"/>
      <c r="AG70" s="254"/>
      <c r="AH70" s="254"/>
      <c r="AI70" s="254"/>
      <c r="AJ70" s="254"/>
      <c r="AK70" s="254"/>
      <c r="AL70" s="254"/>
      <c r="AP70" s="56"/>
    </row>
    <row r="71" spans="2:42" ht="12" customHeight="1">
      <c r="B71" s="263">
        <v>6</v>
      </c>
      <c r="C71" s="241"/>
      <c r="D71" s="241"/>
      <c r="E71" s="246" t="str">
        <f>VLOOKUP(B71,'Filtered Data'!K:L,2,FALSE)</f>
        <v>Elmbridge</v>
      </c>
      <c r="F71" s="246"/>
      <c r="G71" s="246"/>
      <c r="H71" s="246"/>
      <c r="I71" s="246"/>
      <c r="J71" s="246"/>
      <c r="K71" s="246"/>
      <c r="L71" s="246"/>
      <c r="M71" s="246"/>
      <c r="N71" s="246"/>
      <c r="O71" s="246"/>
      <c r="P71" s="246"/>
      <c r="Q71" s="246"/>
      <c r="R71" s="246"/>
      <c r="S71" s="246"/>
      <c r="T71" s="246"/>
      <c r="U71" s="243">
        <f>IF('Filtered Data'!$H$8="%.",(VLOOKUP(B71,'Filtered Data'!K:M,3,FALSE))/100,VLOOKUP(B71,'Filtered Data'!K:M,3,FALSE))</f>
        <v>8</v>
      </c>
      <c r="V71" s="243"/>
      <c r="W71" s="243"/>
      <c r="X71" s="243"/>
      <c r="Y71" s="132" t="str">
        <f>IF((VLOOKUP(E71,classifications!C:K,9,FALSE))="Sparse","S","")</f>
        <v/>
      </c>
      <c r="Z71" s="132"/>
      <c r="AA71" s="132"/>
      <c r="AB71" s="132"/>
      <c r="AC71" s="132"/>
      <c r="AD71" s="254"/>
      <c r="AE71" s="254"/>
      <c r="AF71" s="254"/>
      <c r="AG71" s="254"/>
      <c r="AH71" s="254"/>
      <c r="AI71" s="254"/>
      <c r="AJ71" s="254"/>
      <c r="AK71" s="254"/>
      <c r="AL71" s="254"/>
      <c r="AP71" s="56"/>
    </row>
    <row r="72" spans="2:42" ht="12" customHeight="1">
      <c r="B72" s="263">
        <v>7</v>
      </c>
      <c r="C72" s="241"/>
      <c r="D72" s="241"/>
      <c r="E72" s="246" t="str">
        <f>VLOOKUP(B72,'Filtered Data'!K:L,2,FALSE)</f>
        <v>Watford</v>
      </c>
      <c r="F72" s="246"/>
      <c r="G72" s="246"/>
      <c r="H72" s="246"/>
      <c r="I72" s="246"/>
      <c r="J72" s="246"/>
      <c r="K72" s="246"/>
      <c r="L72" s="246"/>
      <c r="M72" s="246"/>
      <c r="N72" s="246"/>
      <c r="O72" s="246"/>
      <c r="P72" s="246"/>
      <c r="Q72" s="246"/>
      <c r="R72" s="246"/>
      <c r="S72" s="246"/>
      <c r="T72" s="246"/>
      <c r="U72" s="243">
        <f>IF('Filtered Data'!$H$8="%.",(VLOOKUP(B72,'Filtered Data'!K:M,3,FALSE))/100,VLOOKUP(B72,'Filtered Data'!K:M,3,FALSE))</f>
        <v>8</v>
      </c>
      <c r="V72" s="243"/>
      <c r="W72" s="243"/>
      <c r="X72" s="243"/>
      <c r="Y72" s="132" t="str">
        <f>IF((VLOOKUP(E72,classifications!C:K,9,FALSE))="Sparse","S","")</f>
        <v/>
      </c>
      <c r="Z72" s="132"/>
      <c r="AA72" s="132"/>
      <c r="AB72" s="132"/>
      <c r="AC72" s="132"/>
      <c r="AD72" s="254"/>
      <c r="AE72" s="254"/>
      <c r="AF72" s="254"/>
      <c r="AG72" s="254"/>
      <c r="AH72" s="254"/>
      <c r="AI72" s="254"/>
      <c r="AJ72" s="254"/>
      <c r="AK72" s="254"/>
      <c r="AL72" s="254"/>
      <c r="AP72" s="56"/>
    </row>
    <row r="73" spans="2:42" ht="12" customHeight="1">
      <c r="B73" s="263">
        <v>8</v>
      </c>
      <c r="C73" s="241"/>
      <c r="D73" s="241"/>
      <c r="E73" s="246" t="str">
        <f>VLOOKUP(B73,'Filtered Data'!K:L,2,FALSE)</f>
        <v>High Peak</v>
      </c>
      <c r="F73" s="246"/>
      <c r="G73" s="246"/>
      <c r="H73" s="246"/>
      <c r="I73" s="246"/>
      <c r="J73" s="246"/>
      <c r="K73" s="246"/>
      <c r="L73" s="246"/>
      <c r="M73" s="246"/>
      <c r="N73" s="246"/>
      <c r="O73" s="246"/>
      <c r="P73" s="246"/>
      <c r="Q73" s="246"/>
      <c r="R73" s="246"/>
      <c r="S73" s="246"/>
      <c r="T73" s="246"/>
      <c r="U73" s="243">
        <f>IF('Filtered Data'!$H$8="%.",(VLOOKUP(B73,'Filtered Data'!K:M,3,FALSE))/100,VLOOKUP(B73,'Filtered Data'!K:M,3,FALSE))</f>
        <v>9</v>
      </c>
      <c r="V73" s="243"/>
      <c r="W73" s="243"/>
      <c r="X73" s="243"/>
      <c r="Y73" s="132" t="str">
        <f>IF((VLOOKUP(E73,classifications!C:K,9,FALSE))="Sparse","S","")</f>
        <v/>
      </c>
      <c r="Z73" s="132"/>
      <c r="AA73" s="132"/>
      <c r="AB73" s="132"/>
      <c r="AC73" s="132"/>
      <c r="AD73" s="254"/>
      <c r="AE73" s="254"/>
      <c r="AF73" s="254"/>
      <c r="AG73" s="254"/>
      <c r="AH73" s="254"/>
      <c r="AI73" s="254"/>
      <c r="AJ73" s="254"/>
      <c r="AK73" s="254"/>
      <c r="AL73" s="254"/>
      <c r="AP73" s="56"/>
    </row>
    <row r="74" spans="2:42" ht="12" customHeight="1">
      <c r="B74" s="263">
        <v>9</v>
      </c>
      <c r="C74" s="241"/>
      <c r="D74" s="241"/>
      <c r="E74" s="246" t="str">
        <f>VLOOKUP(B74,'Filtered Data'!K:L,2,FALSE)</f>
        <v>Rushcliffe</v>
      </c>
      <c r="F74" s="246"/>
      <c r="G74" s="246"/>
      <c r="H74" s="246"/>
      <c r="I74" s="246"/>
      <c r="J74" s="246"/>
      <c r="K74" s="246"/>
      <c r="L74" s="246"/>
      <c r="M74" s="246"/>
      <c r="N74" s="246"/>
      <c r="O74" s="246"/>
      <c r="P74" s="246"/>
      <c r="Q74" s="246"/>
      <c r="R74" s="246"/>
      <c r="S74" s="246"/>
      <c r="T74" s="246"/>
      <c r="U74" s="243">
        <f>IF('Filtered Data'!$H$8="%.",(VLOOKUP(B74,'Filtered Data'!K:M,3,FALSE))/100,VLOOKUP(B74,'Filtered Data'!K:M,3,FALSE))</f>
        <v>9</v>
      </c>
      <c r="V74" s="243"/>
      <c r="W74" s="243"/>
      <c r="X74" s="243"/>
      <c r="Y74" s="132" t="str">
        <f>IF((VLOOKUP(E74,classifications!C:K,9,FALSE))="Sparse","S","")</f>
        <v/>
      </c>
      <c r="Z74" s="132"/>
      <c r="AA74" s="132"/>
      <c r="AB74" s="132"/>
      <c r="AC74" s="132"/>
      <c r="AD74" s="254"/>
      <c r="AE74" s="254"/>
      <c r="AF74" s="254"/>
      <c r="AG74" s="254"/>
      <c r="AH74" s="254"/>
      <c r="AI74" s="254"/>
      <c r="AJ74" s="254"/>
      <c r="AK74" s="254"/>
      <c r="AL74" s="254"/>
      <c r="AP74" s="56"/>
    </row>
    <row r="75" spans="2:42" ht="12" customHeight="1">
      <c r="B75" s="263">
        <v>10</v>
      </c>
      <c r="C75" s="241"/>
      <c r="D75" s="241"/>
      <c r="E75" s="246" t="str">
        <f>VLOOKUP(B75,'Filtered Data'!K:L,2,FALSE)</f>
        <v>Welwyn Hatfield</v>
      </c>
      <c r="F75" s="246"/>
      <c r="G75" s="246"/>
      <c r="H75" s="246"/>
      <c r="I75" s="246"/>
      <c r="J75" s="246"/>
      <c r="K75" s="246"/>
      <c r="L75" s="246"/>
      <c r="M75" s="246"/>
      <c r="N75" s="246"/>
      <c r="O75" s="246"/>
      <c r="P75" s="246"/>
      <c r="Q75" s="246"/>
      <c r="R75" s="246"/>
      <c r="S75" s="246"/>
      <c r="T75" s="246"/>
      <c r="U75" s="243">
        <f>IF('Filtered Data'!$H$8="%.",(VLOOKUP(B75,'Filtered Data'!K:M,3,FALSE))/100,VLOOKUP(B75,'Filtered Data'!K:M,3,FALSE))</f>
        <v>9</v>
      </c>
      <c r="V75" s="243"/>
      <c r="W75" s="243"/>
      <c r="X75" s="243"/>
      <c r="Y75" s="132" t="str">
        <f>IF((VLOOKUP(E75,classifications!C:K,9,FALSE))="Sparse","S","")</f>
        <v/>
      </c>
      <c r="Z75" s="132"/>
      <c r="AA75" s="132"/>
      <c r="AB75" s="132"/>
      <c r="AC75" s="132"/>
      <c r="AD75" s="254"/>
      <c r="AE75" s="254"/>
      <c r="AF75" s="254"/>
      <c r="AG75" s="254"/>
      <c r="AH75" s="254"/>
      <c r="AI75" s="254"/>
      <c r="AJ75" s="254"/>
      <c r="AK75" s="254"/>
      <c r="AL75" s="254"/>
      <c r="AP75" s="56"/>
    </row>
    <row r="76" spans="2:42" ht="12" customHeight="1">
      <c r="B76" s="263">
        <v>11</v>
      </c>
      <c r="C76" s="241"/>
      <c r="D76" s="241"/>
      <c r="E76" s="246" t="str">
        <f>VLOOKUP(B76,'Filtered Data'!K:L,2,FALSE)</f>
        <v>Fareham</v>
      </c>
      <c r="F76" s="246"/>
      <c r="G76" s="246"/>
      <c r="H76" s="246"/>
      <c r="I76" s="246"/>
      <c r="J76" s="246"/>
      <c r="K76" s="246"/>
      <c r="L76" s="246"/>
      <c r="M76" s="246"/>
      <c r="N76" s="246"/>
      <c r="O76" s="246"/>
      <c r="P76" s="246"/>
      <c r="Q76" s="246"/>
      <c r="R76" s="246"/>
      <c r="S76" s="246"/>
      <c r="T76" s="246"/>
      <c r="U76" s="243">
        <f>IF('Filtered Data'!$H$8="%.",(VLOOKUP(B76,'Filtered Data'!K:M,3,FALSE))/100,VLOOKUP(B76,'Filtered Data'!K:M,3,FALSE))</f>
        <v>10</v>
      </c>
      <c r="V76" s="243"/>
      <c r="W76" s="243"/>
      <c r="X76" s="243"/>
      <c r="Y76" s="132" t="str">
        <f>IF((VLOOKUP(E76,classifications!C:K,9,FALSE))="Sparse","S","")</f>
        <v/>
      </c>
      <c r="Z76" s="132"/>
      <c r="AA76" s="132"/>
      <c r="AB76" s="132"/>
      <c r="AC76" s="132"/>
      <c r="AD76" s="254"/>
      <c r="AE76" s="254"/>
      <c r="AF76" s="254"/>
      <c r="AG76" s="254"/>
      <c r="AH76" s="254"/>
      <c r="AI76" s="254"/>
      <c r="AJ76" s="254"/>
      <c r="AK76" s="254"/>
      <c r="AL76" s="254"/>
      <c r="AP76" s="56"/>
    </row>
    <row r="77" spans="2:42" ht="12" customHeight="1">
      <c r="B77" s="263">
        <v>12</v>
      </c>
      <c r="C77" s="241"/>
      <c r="D77" s="241"/>
      <c r="E77" s="246" t="str">
        <f>VLOOKUP(B77,'Filtered Data'!K:L,2,FALSE)</f>
        <v>Cambridge</v>
      </c>
      <c r="F77" s="246"/>
      <c r="G77" s="246"/>
      <c r="H77" s="246"/>
      <c r="I77" s="246"/>
      <c r="J77" s="246"/>
      <c r="K77" s="246"/>
      <c r="L77" s="246"/>
      <c r="M77" s="246"/>
      <c r="N77" s="246"/>
      <c r="O77" s="246"/>
      <c r="P77" s="246"/>
      <c r="Q77" s="246"/>
      <c r="R77" s="246"/>
      <c r="S77" s="246"/>
      <c r="T77" s="246"/>
      <c r="U77" s="243">
        <f>IF('Filtered Data'!$H$8="%.",(VLOOKUP(B77,'Filtered Data'!K:M,3,FALSE))/100,VLOOKUP(B77,'Filtered Data'!K:M,3,FALSE))</f>
        <v>11</v>
      </c>
      <c r="V77" s="243"/>
      <c r="W77" s="243"/>
      <c r="X77" s="243"/>
      <c r="Y77" s="132" t="str">
        <f>IF((VLOOKUP(E77,classifications!C:K,9,FALSE))="Sparse","S","")</f>
        <v/>
      </c>
      <c r="Z77" s="132"/>
      <c r="AA77" s="132"/>
      <c r="AB77" s="132"/>
      <c r="AC77" s="132"/>
      <c r="AD77" s="254"/>
      <c r="AE77" s="254"/>
      <c r="AF77" s="254"/>
      <c r="AG77" s="254"/>
      <c r="AH77" s="254"/>
      <c r="AI77" s="254"/>
      <c r="AJ77" s="254"/>
      <c r="AK77" s="254"/>
      <c r="AL77" s="254"/>
      <c r="AP77" s="56"/>
    </row>
    <row r="78" spans="2:42" ht="12" customHeight="1">
      <c r="B78" s="263">
        <v>13</v>
      </c>
      <c r="C78" s="241"/>
      <c r="D78" s="241"/>
      <c r="E78" s="246" t="str">
        <f>VLOOKUP(B78,'Filtered Data'!K:L,2,FALSE)</f>
        <v>Derbyshire Dales</v>
      </c>
      <c r="F78" s="246"/>
      <c r="G78" s="246"/>
      <c r="H78" s="246"/>
      <c r="I78" s="246"/>
      <c r="J78" s="246"/>
      <c r="K78" s="246"/>
      <c r="L78" s="246"/>
      <c r="M78" s="246"/>
      <c r="N78" s="246"/>
      <c r="O78" s="246"/>
      <c r="P78" s="246"/>
      <c r="Q78" s="246"/>
      <c r="R78" s="246"/>
      <c r="S78" s="246"/>
      <c r="T78" s="246"/>
      <c r="U78" s="243">
        <f>IF('Filtered Data'!$H$8="%.",(VLOOKUP(B78,'Filtered Data'!K:M,3,FALSE))/100,VLOOKUP(B78,'Filtered Data'!K:M,3,FALSE))</f>
        <v>11</v>
      </c>
      <c r="V78" s="243"/>
      <c r="W78" s="243"/>
      <c r="X78" s="243"/>
      <c r="Y78" s="132" t="str">
        <f>IF((VLOOKUP(E78,classifications!C:K,9,FALSE))="Sparse","S","")</f>
        <v>S</v>
      </c>
      <c r="Z78" s="132"/>
      <c r="AA78" s="132"/>
      <c r="AB78" s="132"/>
      <c r="AC78" s="132"/>
      <c r="AD78" s="254"/>
      <c r="AE78" s="254"/>
      <c r="AF78" s="254"/>
      <c r="AG78" s="254"/>
      <c r="AH78" s="254"/>
      <c r="AI78" s="254"/>
      <c r="AJ78" s="254"/>
      <c r="AK78" s="254"/>
      <c r="AL78" s="254"/>
      <c r="AP78" s="56"/>
    </row>
    <row r="79" spans="2:42" ht="12" customHeight="1">
      <c r="B79" s="263">
        <v>14</v>
      </c>
      <c r="C79" s="241"/>
      <c r="D79" s="241"/>
      <c r="E79" s="246" t="str">
        <f>VLOOKUP(B79,'Filtered Data'!K:L,2,FALSE)</f>
        <v>Eastleigh</v>
      </c>
      <c r="F79" s="246"/>
      <c r="G79" s="246"/>
      <c r="H79" s="246"/>
      <c r="I79" s="246"/>
      <c r="J79" s="246"/>
      <c r="K79" s="246"/>
      <c r="L79" s="246"/>
      <c r="M79" s="246"/>
      <c r="N79" s="246"/>
      <c r="O79" s="246"/>
      <c r="P79" s="246"/>
      <c r="Q79" s="246"/>
      <c r="R79" s="246"/>
      <c r="S79" s="246"/>
      <c r="T79" s="246"/>
      <c r="U79" s="243">
        <f>IF('Filtered Data'!$H$8="%.",(VLOOKUP(B79,'Filtered Data'!K:M,3,FALSE))/100,VLOOKUP(B79,'Filtered Data'!K:M,3,FALSE))</f>
        <v>11</v>
      </c>
      <c r="V79" s="243"/>
      <c r="W79" s="243"/>
      <c r="X79" s="243"/>
      <c r="Y79" s="132" t="str">
        <f>IF((VLOOKUP(E79,classifications!C:K,9,FALSE))="Sparse","S","")</f>
        <v/>
      </c>
      <c r="Z79" s="132"/>
      <c r="AA79" s="132"/>
      <c r="AB79" s="132"/>
      <c r="AC79" s="132"/>
      <c r="AD79" s="254"/>
      <c r="AE79" s="254"/>
      <c r="AF79" s="254"/>
      <c r="AG79" s="254"/>
      <c r="AH79" s="254"/>
      <c r="AI79" s="254"/>
      <c r="AJ79" s="254"/>
      <c r="AK79" s="254"/>
      <c r="AL79" s="254"/>
      <c r="AP79" s="56"/>
    </row>
    <row r="80" spans="2:42" ht="12" customHeight="1">
      <c r="B80" s="263">
        <v>15</v>
      </c>
      <c r="C80" s="241"/>
      <c r="D80" s="241"/>
      <c r="E80" s="246" t="str">
        <f>VLOOKUP(B80,'Filtered Data'!K:L,2,FALSE)</f>
        <v>New Forest</v>
      </c>
      <c r="F80" s="246"/>
      <c r="G80" s="246"/>
      <c r="H80" s="246"/>
      <c r="I80" s="246"/>
      <c r="J80" s="246"/>
      <c r="K80" s="246"/>
      <c r="L80" s="246"/>
      <c r="M80" s="246"/>
      <c r="N80" s="246"/>
      <c r="O80" s="246"/>
      <c r="P80" s="246"/>
      <c r="Q80" s="246"/>
      <c r="R80" s="246"/>
      <c r="S80" s="246"/>
      <c r="T80" s="246"/>
      <c r="U80" s="243">
        <f>IF('Filtered Data'!$H$8="%.",(VLOOKUP(B80,'Filtered Data'!K:M,3,FALSE))/100,VLOOKUP(B80,'Filtered Data'!K:M,3,FALSE))</f>
        <v>11</v>
      </c>
      <c r="V80" s="243"/>
      <c r="W80" s="243"/>
      <c r="X80" s="243"/>
      <c r="Y80" s="132" t="str">
        <f>IF((VLOOKUP(E80,classifications!C:K,9,FALSE))="Sparse","S","")</f>
        <v>S</v>
      </c>
      <c r="Z80" s="132"/>
      <c r="AA80" s="132"/>
      <c r="AB80" s="132"/>
      <c r="AC80" s="132"/>
      <c r="AD80" s="254"/>
      <c r="AE80" s="254"/>
      <c r="AF80" s="254"/>
      <c r="AG80" s="254"/>
      <c r="AH80" s="254"/>
      <c r="AI80" s="254"/>
      <c r="AJ80" s="254"/>
      <c r="AK80" s="254"/>
      <c r="AL80" s="254"/>
      <c r="AP80" s="56"/>
    </row>
    <row r="81" spans="1:48" ht="12" customHeight="1">
      <c r="B81" s="263">
        <v>16</v>
      </c>
      <c r="C81" s="241"/>
      <c r="D81" s="241"/>
      <c r="E81" s="246" t="str">
        <f>VLOOKUP(B81,'Filtered Data'!K:L,2,FALSE)</f>
        <v>South Norfolk</v>
      </c>
      <c r="F81" s="246"/>
      <c r="G81" s="246"/>
      <c r="H81" s="246"/>
      <c r="I81" s="246"/>
      <c r="J81" s="246"/>
      <c r="K81" s="246"/>
      <c r="L81" s="246"/>
      <c r="M81" s="246"/>
      <c r="N81" s="246"/>
      <c r="O81" s="246"/>
      <c r="P81" s="246"/>
      <c r="Q81" s="246"/>
      <c r="R81" s="246"/>
      <c r="S81" s="246"/>
      <c r="T81" s="246"/>
      <c r="U81" s="243">
        <f>IF('Filtered Data'!$H$8="%.",(VLOOKUP(B81,'Filtered Data'!K:M,3,FALSE))/100,VLOOKUP(B81,'Filtered Data'!K:M,3,FALSE))</f>
        <v>11</v>
      </c>
      <c r="V81" s="243"/>
      <c r="W81" s="243"/>
      <c r="X81" s="243"/>
      <c r="Y81" s="132" t="str">
        <f>IF((VLOOKUP(E81,classifications!C:K,9,FALSE))="Sparse","S","")</f>
        <v>S</v>
      </c>
      <c r="Z81" s="132"/>
      <c r="AA81" s="132"/>
      <c r="AB81" s="132"/>
      <c r="AC81" s="132"/>
      <c r="AD81" s="254"/>
      <c r="AE81" s="254"/>
      <c r="AF81" s="254"/>
      <c r="AG81" s="254"/>
      <c r="AH81" s="254"/>
      <c r="AI81" s="254"/>
      <c r="AJ81" s="254"/>
      <c r="AK81" s="254"/>
      <c r="AL81" s="254"/>
      <c r="AP81" s="56"/>
    </row>
    <row r="82" spans="1:48" ht="12" customHeight="1">
      <c r="B82" s="263">
        <v>17</v>
      </c>
      <c r="C82" s="241"/>
      <c r="D82" s="241"/>
      <c r="E82" s="246" t="str">
        <f>VLOOKUP(B82,'Filtered Data'!K:L,2,FALSE)</f>
        <v>St Albans</v>
      </c>
      <c r="F82" s="246"/>
      <c r="G82" s="246"/>
      <c r="H82" s="246"/>
      <c r="I82" s="246"/>
      <c r="J82" s="246"/>
      <c r="K82" s="246"/>
      <c r="L82" s="246"/>
      <c r="M82" s="246"/>
      <c r="N82" s="246"/>
      <c r="O82" s="246"/>
      <c r="P82" s="246"/>
      <c r="Q82" s="246"/>
      <c r="R82" s="246"/>
      <c r="S82" s="246"/>
      <c r="T82" s="246"/>
      <c r="U82" s="243">
        <f>IF('Filtered Data'!$H$8="%.",(VLOOKUP(B82,'Filtered Data'!K:M,3,FALSE))/100,VLOOKUP(B82,'Filtered Data'!K:M,3,FALSE))</f>
        <v>11</v>
      </c>
      <c r="V82" s="243"/>
      <c r="W82" s="243"/>
      <c r="X82" s="243"/>
      <c r="Y82" s="132" t="str">
        <f>IF((VLOOKUP(E82,classifications!C:K,9,FALSE))="Sparse","S","")</f>
        <v/>
      </c>
      <c r="Z82" s="132"/>
      <c r="AA82" s="132"/>
      <c r="AB82" s="132"/>
      <c r="AC82" s="132"/>
      <c r="AD82" s="254"/>
      <c r="AE82" s="254"/>
      <c r="AF82" s="254"/>
      <c r="AG82" s="254"/>
      <c r="AH82" s="254"/>
      <c r="AI82" s="254"/>
      <c r="AJ82" s="254"/>
      <c r="AK82" s="254"/>
      <c r="AL82" s="254"/>
      <c r="AP82" s="56"/>
    </row>
    <row r="83" spans="1:48" ht="12" customHeight="1">
      <c r="B83" s="263">
        <v>18</v>
      </c>
      <c r="C83" s="241"/>
      <c r="D83" s="241"/>
      <c r="E83" s="246" t="str">
        <f>VLOOKUP(B83,'Filtered Data'!K:L,2,FALSE)</f>
        <v>Tewkesbury</v>
      </c>
      <c r="F83" s="246"/>
      <c r="G83" s="246"/>
      <c r="H83" s="246"/>
      <c r="I83" s="246"/>
      <c r="J83" s="246"/>
      <c r="K83" s="246"/>
      <c r="L83" s="246"/>
      <c r="M83" s="246"/>
      <c r="N83" s="246"/>
      <c r="O83" s="246"/>
      <c r="P83" s="246"/>
      <c r="Q83" s="246"/>
      <c r="R83" s="246"/>
      <c r="S83" s="246"/>
      <c r="T83" s="246"/>
      <c r="U83" s="243">
        <f>IF('Filtered Data'!$H$8="%.",(VLOOKUP(B83,'Filtered Data'!K:M,3,FALSE))/100,VLOOKUP(B83,'Filtered Data'!K:M,3,FALSE))</f>
        <v>11</v>
      </c>
      <c r="V83" s="243"/>
      <c r="W83" s="243"/>
      <c r="X83" s="243"/>
      <c r="Y83" s="132" t="str">
        <f>IF((VLOOKUP(E83,classifications!C:K,9,FALSE))="Sparse","S","")</f>
        <v>S</v>
      </c>
      <c r="Z83" s="132"/>
      <c r="AA83" s="132"/>
      <c r="AB83" s="132"/>
      <c r="AC83" s="132"/>
      <c r="AD83" s="254"/>
      <c r="AE83" s="254"/>
      <c r="AF83" s="254"/>
      <c r="AG83" s="254"/>
      <c r="AH83" s="254"/>
      <c r="AI83" s="254"/>
      <c r="AJ83" s="254"/>
      <c r="AK83" s="254"/>
      <c r="AL83" s="254"/>
      <c r="AP83" s="56"/>
    </row>
    <row r="84" spans="1:48" ht="12" customHeight="1">
      <c r="B84" s="263">
        <v>19</v>
      </c>
      <c r="C84" s="241"/>
      <c r="D84" s="241"/>
      <c r="E84" s="246" t="str">
        <f>VLOOKUP(B84,'Filtered Data'!K:L,2,FALSE)</f>
        <v>Newcastle-under-Lyme</v>
      </c>
      <c r="F84" s="246"/>
      <c r="G84" s="246"/>
      <c r="H84" s="246"/>
      <c r="I84" s="246"/>
      <c r="J84" s="246"/>
      <c r="K84" s="246"/>
      <c r="L84" s="246"/>
      <c r="M84" s="246"/>
      <c r="N84" s="246"/>
      <c r="O84" s="246"/>
      <c r="P84" s="246"/>
      <c r="Q84" s="246"/>
      <c r="R84" s="246"/>
      <c r="S84" s="246"/>
      <c r="T84" s="246"/>
      <c r="U84" s="243">
        <f>IF('Filtered Data'!$H$8="%.",(VLOOKUP(B84,'Filtered Data'!K:M,3,FALSE))/100,VLOOKUP(B84,'Filtered Data'!K:M,3,FALSE))</f>
        <v>12</v>
      </c>
      <c r="V84" s="243"/>
      <c r="W84" s="243"/>
      <c r="X84" s="243"/>
      <c r="Y84" s="132" t="str">
        <f>IF((VLOOKUP(E84,classifications!C:K,9,FALSE))="Sparse","S","")</f>
        <v/>
      </c>
      <c r="Z84" s="132"/>
      <c r="AA84" s="132"/>
      <c r="AB84" s="132"/>
      <c r="AC84" s="132"/>
      <c r="AD84" s="254"/>
      <c r="AE84" s="254"/>
      <c r="AF84" s="254"/>
      <c r="AG84" s="254"/>
      <c r="AH84" s="254"/>
      <c r="AI84" s="254"/>
      <c r="AJ84" s="254"/>
      <c r="AK84" s="254"/>
      <c r="AL84" s="254"/>
      <c r="AP84" s="56"/>
    </row>
    <row r="85" spans="1:48" ht="12" customHeight="1">
      <c r="B85" s="263">
        <v>20</v>
      </c>
      <c r="C85" s="263"/>
      <c r="D85" s="263"/>
      <c r="E85" s="246" t="str">
        <f>VLOOKUP(B85,'Filtered Data'!K:L,2,FALSE)</f>
        <v>Rochford</v>
      </c>
      <c r="F85" s="246"/>
      <c r="G85" s="246"/>
      <c r="H85" s="246"/>
      <c r="I85" s="246"/>
      <c r="J85" s="246"/>
      <c r="K85" s="246"/>
      <c r="L85" s="246"/>
      <c r="M85" s="246"/>
      <c r="N85" s="246"/>
      <c r="O85" s="246"/>
      <c r="P85" s="246"/>
      <c r="Q85" s="246"/>
      <c r="R85" s="246"/>
      <c r="S85" s="246"/>
      <c r="T85" s="246"/>
      <c r="U85" s="243">
        <f>IF('Filtered Data'!$H$8="%.",(VLOOKUP(B85,'Filtered Data'!K:M,3,FALSE))/100,VLOOKUP(B85,'Filtered Data'!K:M,3,FALSE))</f>
        <v>12</v>
      </c>
      <c r="V85" s="243"/>
      <c r="W85" s="243"/>
      <c r="X85" s="243"/>
      <c r="Y85" s="132" t="str">
        <f>IF((VLOOKUP(E85,classifications!C:K,9,FALSE))="Sparse","S","")</f>
        <v/>
      </c>
      <c r="Z85" s="132"/>
      <c r="AA85" s="132"/>
      <c r="AB85" s="132"/>
      <c r="AC85" s="132"/>
      <c r="AD85" s="254"/>
      <c r="AE85" s="254"/>
      <c r="AF85" s="254"/>
      <c r="AG85" s="254"/>
      <c r="AH85" s="254"/>
      <c r="AI85" s="254"/>
      <c r="AJ85" s="254"/>
      <c r="AK85" s="254"/>
      <c r="AL85" s="254"/>
      <c r="AP85" s="56"/>
    </row>
    <row r="86" spans="1:48" ht="12" customHeight="1">
      <c r="A86" s="51"/>
      <c r="B86" s="318">
        <f>IF(Q37&lt;=MAX(B66:D85),"",Q37)</f>
        <v>53</v>
      </c>
      <c r="C86" s="318"/>
      <c r="D86" s="318"/>
      <c r="E86" s="245" t="str">
        <f>IF(B86="","",VLOOKUP(B86,'Filtered Data'!K:L,2,FALSE))</f>
        <v>Babergh</v>
      </c>
      <c r="F86" s="245"/>
      <c r="G86" s="245"/>
      <c r="H86" s="245"/>
      <c r="I86" s="245"/>
      <c r="J86" s="245"/>
      <c r="K86" s="245"/>
      <c r="L86" s="245"/>
      <c r="M86" s="245"/>
      <c r="N86" s="245"/>
      <c r="O86" s="245"/>
      <c r="P86" s="245"/>
      <c r="Q86" s="245"/>
      <c r="R86" s="245"/>
      <c r="S86" s="245"/>
      <c r="T86" s="245"/>
      <c r="U86" s="262">
        <f>IF(B86="","",L35)</f>
        <v>17</v>
      </c>
      <c r="V86" s="262"/>
      <c r="W86" s="262"/>
      <c r="X86" s="262"/>
      <c r="Y86" s="132" t="str">
        <f>IF(B86="","",IF((VLOOKUP(E86,classifications!C:K,9,FALSE))="Sparse","S",""))</f>
        <v>S</v>
      </c>
      <c r="Z86" s="132"/>
      <c r="AA86" s="132"/>
      <c r="AB86" s="132"/>
      <c r="AC86" s="132"/>
      <c r="AD86" s="255"/>
      <c r="AE86" s="255"/>
      <c r="AF86" s="255"/>
      <c r="AG86" s="255"/>
      <c r="AH86" s="255"/>
      <c r="AI86" s="255"/>
      <c r="AJ86" s="255"/>
      <c r="AK86" s="255"/>
      <c r="AL86" s="255"/>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6" t="str">
        <f>IF('Filtered Data'!D1="MD","",IF('Filtered Data'!D1="SC","","Rank"))</f>
        <v>Rank</v>
      </c>
      <c r="C91" s="256"/>
      <c r="D91" s="256"/>
      <c r="E91" s="244" t="str">
        <f>IF('Filtered Data'!D1="MD","",IF('Filtered Data'!D1="SC","","Authority"))</f>
        <v>Authority</v>
      </c>
      <c r="F91" s="244"/>
      <c r="G91" s="244"/>
      <c r="H91" s="244"/>
      <c r="I91" s="244"/>
      <c r="J91" s="244"/>
      <c r="K91" s="244"/>
      <c r="L91" s="244"/>
      <c r="M91" s="244"/>
      <c r="N91" s="244"/>
      <c r="O91" s="230"/>
      <c r="P91" s="230"/>
      <c r="Q91" s="230"/>
      <c r="R91" s="230"/>
      <c r="S91" s="230"/>
      <c r="T91" s="230"/>
      <c r="U91" s="256" t="str">
        <f>IF('Filtered Data'!D1="MD","",IF('Filtered Data'!D1="SC","","Value"))</f>
        <v>Value</v>
      </c>
      <c r="V91" s="256"/>
      <c r="W91" s="256"/>
      <c r="X91" s="256"/>
      <c r="AA91" s="256"/>
      <c r="AB91" s="256"/>
      <c r="AC91" s="256"/>
      <c r="AD91" s="244"/>
      <c r="AE91" s="244"/>
      <c r="AF91" s="244"/>
      <c r="AG91" s="244"/>
      <c r="AH91" s="244"/>
      <c r="AI91" s="244"/>
      <c r="AJ91" s="244"/>
      <c r="AK91" s="244"/>
      <c r="AL91" s="244"/>
      <c r="AM91" s="244"/>
      <c r="AN91" s="256"/>
      <c r="AO91" s="256"/>
      <c r="AP91" s="256"/>
      <c r="AV91" s="56"/>
    </row>
    <row r="92" spans="1:48" ht="12" customHeight="1">
      <c r="B92" s="252">
        <f>IF('Filtered Data'!$D$1="MD","",IF('Filtered Data'!$D$1="SC","",IF('Filtered Data'!$D$1="UA",'Filtered Data'!AS11,'Filtered Data'!AL11)))</f>
        <v>1</v>
      </c>
      <c r="C92" s="253"/>
      <c r="D92" s="253"/>
      <c r="E92" s="245" t="str">
        <f>IF(B92="","",IF('Filtered Data'!$D$1="UA",VLOOKUP(B92,'Filtered Data'!AS:AU,2,FALSE),VLOOKUP(B92,'Filtered Data'!AL:AN,2,FALSE)))</f>
        <v>Babergh</v>
      </c>
      <c r="F92" s="245"/>
      <c r="G92" s="245"/>
      <c r="H92" s="245"/>
      <c r="I92" s="245"/>
      <c r="J92" s="245"/>
      <c r="K92" s="245"/>
      <c r="L92" s="245"/>
      <c r="M92" s="245"/>
      <c r="N92" s="245"/>
      <c r="O92" s="245"/>
      <c r="P92" s="245"/>
      <c r="Q92" s="245"/>
      <c r="R92" s="245"/>
      <c r="S92" s="245"/>
      <c r="T92" s="245"/>
      <c r="U92" s="24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17</v>
      </c>
      <c r="V92" s="243"/>
      <c r="W92" s="243"/>
      <c r="X92" s="243"/>
      <c r="Y92" s="133" t="str">
        <f>IF(E92="","",IF((VLOOKUP(E92,classifications!C:K,9,FALSE))="Sparse","S",""))</f>
        <v>S</v>
      </c>
      <c r="AA92" s="251"/>
      <c r="AB92" s="241"/>
      <c r="AC92" s="241"/>
      <c r="AD92" s="246"/>
      <c r="AE92" s="246"/>
      <c r="AF92" s="246"/>
      <c r="AG92" s="246"/>
      <c r="AH92" s="246"/>
      <c r="AI92" s="246"/>
      <c r="AJ92" s="246"/>
      <c r="AK92" s="246"/>
      <c r="AL92" s="246"/>
      <c r="AM92" s="246"/>
      <c r="AN92" s="242"/>
      <c r="AO92" s="242"/>
      <c r="AP92" s="242"/>
      <c r="AQ92" s="242"/>
      <c r="AR92" s="133"/>
      <c r="AV92" s="56"/>
    </row>
    <row r="93" spans="1:48" ht="12" customHeight="1">
      <c r="B93" s="252">
        <f>IF('Filtered Data'!$D$1="MD","",IF('Filtered Data'!$D$1="SC","",IF('Filtered Data'!$D$1="UA",'Filtered Data'!AS12,'Filtered Data'!AL12)))</f>
        <v>2</v>
      </c>
      <c r="C93" s="253"/>
      <c r="D93" s="253"/>
      <c r="E93" s="245" t="str">
        <f>IF(B93="","",IF('Filtered Data'!$D$1="UA",VLOOKUP(B93,'Filtered Data'!AS:AU,2,FALSE),VLOOKUP(B93,'Filtered Data'!AL:AN,2,FALSE)))</f>
        <v>Mid Suffolk</v>
      </c>
      <c r="F93" s="245"/>
      <c r="G93" s="245"/>
      <c r="H93" s="245"/>
      <c r="I93" s="245"/>
      <c r="J93" s="245"/>
      <c r="K93" s="245"/>
      <c r="L93" s="245"/>
      <c r="M93" s="245"/>
      <c r="N93" s="245"/>
      <c r="O93" s="245"/>
      <c r="P93" s="245"/>
      <c r="Q93" s="245"/>
      <c r="R93" s="245"/>
      <c r="S93" s="245"/>
      <c r="T93" s="245"/>
      <c r="U93" s="24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18</v>
      </c>
      <c r="V93" s="243"/>
      <c r="W93" s="243"/>
      <c r="X93" s="243"/>
      <c r="Y93" s="133" t="str">
        <f>IF(E93="","",IF((VLOOKUP(E93,classifications!C:K,9,FALSE))="Sparse","S",""))</f>
        <v>S</v>
      </c>
      <c r="AA93" s="251"/>
      <c r="AB93" s="241"/>
      <c r="AC93" s="241"/>
      <c r="AD93" s="246"/>
      <c r="AE93" s="246"/>
      <c r="AF93" s="246"/>
      <c r="AG93" s="246"/>
      <c r="AH93" s="246"/>
      <c r="AI93" s="246"/>
      <c r="AJ93" s="246"/>
      <c r="AK93" s="246"/>
      <c r="AL93" s="246"/>
      <c r="AM93" s="246"/>
      <c r="AN93" s="242"/>
      <c r="AO93" s="242"/>
      <c r="AP93" s="242"/>
      <c r="AQ93" s="242"/>
      <c r="AR93" s="133"/>
      <c r="AV93" s="56"/>
    </row>
    <row r="94" spans="1:48" ht="12" customHeight="1">
      <c r="B94" s="252">
        <f>IF('Filtered Data'!$D$1="MD","",IF('Filtered Data'!$D$1="SC","",IF('Filtered Data'!$D$1="UA",'Filtered Data'!AS13,'Filtered Data'!AL13)))</f>
        <v>3</v>
      </c>
      <c r="C94" s="253"/>
      <c r="D94" s="253"/>
      <c r="E94" s="245" t="str">
        <f>IF(B94="","",IF('Filtered Data'!$D$1="UA",VLOOKUP(B94,'Filtered Data'!AS:AU,2,FALSE),VLOOKUP(B94,'Filtered Data'!AL:AN,2,FALSE)))</f>
        <v>Ipswich</v>
      </c>
      <c r="F94" s="245"/>
      <c r="G94" s="245"/>
      <c r="H94" s="245"/>
      <c r="I94" s="245"/>
      <c r="J94" s="245"/>
      <c r="K94" s="245"/>
      <c r="L94" s="245"/>
      <c r="M94" s="245"/>
      <c r="N94" s="245"/>
      <c r="O94" s="245"/>
      <c r="P94" s="245"/>
      <c r="Q94" s="245"/>
      <c r="R94" s="245"/>
      <c r="S94" s="245"/>
      <c r="T94" s="245"/>
      <c r="U94" s="24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19</v>
      </c>
      <c r="V94" s="243"/>
      <c r="W94" s="243"/>
      <c r="X94" s="243"/>
      <c r="Y94" s="133" t="str">
        <f>IF(E94="","",IF((VLOOKUP(E94,classifications!C:K,9,FALSE))="Sparse","S",""))</f>
        <v/>
      </c>
      <c r="AA94" s="251"/>
      <c r="AB94" s="241"/>
      <c r="AC94" s="241"/>
      <c r="AD94" s="246"/>
      <c r="AE94" s="246"/>
      <c r="AF94" s="246"/>
      <c r="AG94" s="246"/>
      <c r="AH94" s="246"/>
      <c r="AI94" s="246"/>
      <c r="AJ94" s="246"/>
      <c r="AK94" s="246"/>
      <c r="AL94" s="246"/>
      <c r="AM94" s="246"/>
      <c r="AN94" s="242"/>
      <c r="AO94" s="242"/>
      <c r="AP94" s="242"/>
      <c r="AQ94" s="242"/>
      <c r="AR94" s="133"/>
      <c r="AV94" s="56"/>
    </row>
    <row r="95" spans="1:48" ht="12" customHeight="1">
      <c r="B95" s="252">
        <f>IF('Filtered Data'!$D$1="MD","",IF('Filtered Data'!$D$1="SC","",IF('Filtered Data'!$D$1="UA",'Filtered Data'!AS14,'Filtered Data'!AL14)))</f>
        <v>4</v>
      </c>
      <c r="C95" s="253"/>
      <c r="D95" s="253"/>
      <c r="E95" s="245" t="str">
        <f>IF(B95="","",IF('Filtered Data'!$D$1="UA",VLOOKUP(B95,'Filtered Data'!AS:AU,2,FALSE),VLOOKUP(B95,'Filtered Data'!AL:AN,2,FALSE)))</f>
        <v>West Suffolk</v>
      </c>
      <c r="F95" s="245"/>
      <c r="G95" s="245"/>
      <c r="H95" s="245"/>
      <c r="I95" s="245"/>
      <c r="J95" s="245"/>
      <c r="K95" s="245"/>
      <c r="L95" s="245"/>
      <c r="M95" s="245"/>
      <c r="N95" s="245"/>
      <c r="O95" s="245"/>
      <c r="P95" s="245"/>
      <c r="Q95" s="245"/>
      <c r="R95" s="245"/>
      <c r="S95" s="245"/>
      <c r="T95" s="245"/>
      <c r="U95" s="24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24</v>
      </c>
      <c r="V95" s="243"/>
      <c r="W95" s="243"/>
      <c r="X95" s="243"/>
      <c r="Y95" s="133" t="str">
        <f>IF(E95="","",IF((VLOOKUP(E95,classifications!C:K,9,FALSE))="Sparse","S",""))</f>
        <v>S</v>
      </c>
      <c r="AA95" s="251"/>
      <c r="AB95" s="241"/>
      <c r="AC95" s="241"/>
      <c r="AD95" s="246"/>
      <c r="AE95" s="246"/>
      <c r="AF95" s="246"/>
      <c r="AG95" s="246"/>
      <c r="AH95" s="246"/>
      <c r="AI95" s="246"/>
      <c r="AJ95" s="246"/>
      <c r="AK95" s="246"/>
      <c r="AL95" s="246"/>
      <c r="AM95" s="246"/>
      <c r="AN95" s="242"/>
      <c r="AO95" s="242"/>
      <c r="AP95" s="242"/>
      <c r="AQ95" s="242"/>
      <c r="AR95" s="133"/>
      <c r="AV95" s="56"/>
    </row>
    <row r="96" spans="1:48" ht="12" customHeight="1">
      <c r="B96" s="252">
        <f>IF('Filtered Data'!$D$1="MD","",IF('Filtered Data'!$D$1="SC","",IF('Filtered Data'!$D$1="UA",'Filtered Data'!AS15,'Filtered Data'!AL15)))</f>
        <v>5</v>
      </c>
      <c r="C96" s="253"/>
      <c r="D96" s="253"/>
      <c r="E96" s="245" t="str">
        <f>IF(B96="","",IF('Filtered Data'!$D$1="UA",VLOOKUP(B96,'Filtered Data'!AS:AU,2,FALSE),VLOOKUP(B96,'Filtered Data'!AL:AN,2,FALSE)))</f>
        <v>East Suffolk</v>
      </c>
      <c r="F96" s="245"/>
      <c r="G96" s="245"/>
      <c r="H96" s="245"/>
      <c r="I96" s="245"/>
      <c r="J96" s="245"/>
      <c r="K96" s="245"/>
      <c r="L96" s="245"/>
      <c r="M96" s="245"/>
      <c r="N96" s="245"/>
      <c r="O96" s="245"/>
      <c r="P96" s="245"/>
      <c r="Q96" s="245"/>
      <c r="R96" s="245"/>
      <c r="S96" s="245"/>
      <c r="T96" s="245"/>
      <c r="U96" s="24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26</v>
      </c>
      <c r="V96" s="243"/>
      <c r="W96" s="243"/>
      <c r="X96" s="243"/>
      <c r="Y96" s="133" t="str">
        <f>IF(E96="","",IF((VLOOKUP(E96,classifications!C:K,9,FALSE))="Sparse","S",""))</f>
        <v>S</v>
      </c>
      <c r="AA96" s="251"/>
      <c r="AB96" s="241"/>
      <c r="AC96" s="241"/>
      <c r="AD96" s="246"/>
      <c r="AE96" s="246"/>
      <c r="AF96" s="246"/>
      <c r="AG96" s="246"/>
      <c r="AH96" s="246"/>
      <c r="AI96" s="246"/>
      <c r="AJ96" s="246"/>
      <c r="AK96" s="246"/>
      <c r="AL96" s="246"/>
      <c r="AM96" s="246"/>
      <c r="AN96" s="242"/>
      <c r="AO96" s="242"/>
      <c r="AP96" s="242"/>
      <c r="AQ96" s="242"/>
      <c r="AR96" s="133"/>
      <c r="AV96" s="56"/>
    </row>
    <row r="97" spans="2:48" ht="12" customHeight="1">
      <c r="B97" s="252" t="str">
        <f>IF('Filtered Data'!$D$1="MD","",IF('Filtered Data'!$D$1="SC","",IF('Filtered Data'!$D$1="UA",'Filtered Data'!AS16,'Filtered Data'!AL16)))</f>
        <v/>
      </c>
      <c r="C97" s="253"/>
      <c r="D97" s="253"/>
      <c r="E97" s="245" t="str">
        <f>IF(B97="","",IF('Filtered Data'!$D$1="UA",VLOOKUP(B97,'Filtered Data'!AS:AU,2,FALSE),VLOOKUP(B97,'Filtered Data'!AL:AN,2,FALSE)))</f>
        <v/>
      </c>
      <c r="F97" s="245"/>
      <c r="G97" s="245"/>
      <c r="H97" s="245"/>
      <c r="I97" s="245"/>
      <c r="J97" s="245"/>
      <c r="K97" s="245"/>
      <c r="L97" s="245"/>
      <c r="M97" s="245"/>
      <c r="N97" s="245"/>
      <c r="O97" s="245"/>
      <c r="P97" s="245"/>
      <c r="Q97" s="245"/>
      <c r="R97" s="245"/>
      <c r="S97" s="245"/>
      <c r="T97" s="245"/>
      <c r="U97" s="243"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3"/>
      <c r="W97" s="243"/>
      <c r="X97" s="243"/>
      <c r="Y97" s="133" t="str">
        <f>IF(E97="","",IF((VLOOKUP(E97,classifications!C:K,9,FALSE))="Sparse","S",""))</f>
        <v/>
      </c>
      <c r="AA97" s="251"/>
      <c r="AB97" s="241"/>
      <c r="AC97" s="241"/>
      <c r="AD97" s="246"/>
      <c r="AE97" s="246"/>
      <c r="AF97" s="246"/>
      <c r="AG97" s="246"/>
      <c r="AH97" s="246"/>
      <c r="AI97" s="246"/>
      <c r="AJ97" s="246"/>
      <c r="AK97" s="246"/>
      <c r="AL97" s="246"/>
      <c r="AM97" s="246"/>
      <c r="AN97" s="242"/>
      <c r="AO97" s="242"/>
      <c r="AP97" s="242"/>
      <c r="AQ97" s="242"/>
      <c r="AR97" s="133"/>
      <c r="AV97" s="56"/>
    </row>
    <row r="98" spans="2:48" ht="12" customHeight="1">
      <c r="B98" s="252" t="str">
        <f>IF('Filtered Data'!$D$1="MD","",IF('Filtered Data'!$D$1="SC","",IF('Filtered Data'!$D$1="UA",'Filtered Data'!AS17,'Filtered Data'!AL17)))</f>
        <v/>
      </c>
      <c r="C98" s="253"/>
      <c r="D98" s="253"/>
      <c r="E98" s="245" t="str">
        <f>IF(B98="","",IF('Filtered Data'!$D$1="UA",VLOOKUP(B98,'Filtered Data'!AS:AU,2,FALSE),VLOOKUP(B98,'Filtered Data'!AL:AN,2,FALSE)))</f>
        <v/>
      </c>
      <c r="F98" s="245"/>
      <c r="G98" s="245"/>
      <c r="H98" s="245"/>
      <c r="I98" s="245"/>
      <c r="J98" s="245"/>
      <c r="K98" s="245"/>
      <c r="L98" s="245"/>
      <c r="M98" s="245"/>
      <c r="N98" s="245"/>
      <c r="O98" s="245"/>
      <c r="P98" s="245"/>
      <c r="Q98" s="245"/>
      <c r="R98" s="245"/>
      <c r="S98" s="245"/>
      <c r="T98" s="245"/>
      <c r="U98" s="24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3"/>
      <c r="W98" s="243"/>
      <c r="X98" s="243"/>
      <c r="Y98" s="133" t="str">
        <f>IF(E98="","",IF((VLOOKUP(E98,classifications!C:K,9,FALSE))="Sparse","S",""))</f>
        <v/>
      </c>
      <c r="AA98" s="251"/>
      <c r="AB98" s="241"/>
      <c r="AC98" s="241"/>
      <c r="AD98" s="246"/>
      <c r="AE98" s="246"/>
      <c r="AF98" s="246"/>
      <c r="AG98" s="246"/>
      <c r="AH98" s="246"/>
      <c r="AI98" s="246"/>
      <c r="AJ98" s="246"/>
      <c r="AK98" s="246"/>
      <c r="AL98" s="246"/>
      <c r="AM98" s="246"/>
      <c r="AN98" s="242"/>
      <c r="AO98" s="242"/>
      <c r="AP98" s="242"/>
      <c r="AQ98" s="242"/>
      <c r="AR98" s="133"/>
      <c r="AV98" s="56"/>
    </row>
    <row r="99" spans="2:48" ht="12" customHeight="1">
      <c r="B99" s="252" t="str">
        <f>IF('Filtered Data'!$D$1="MD","",IF('Filtered Data'!$D$1="SC","",IF('Filtered Data'!$D$1="UA",'Filtered Data'!AS18,'Filtered Data'!AL18)))</f>
        <v/>
      </c>
      <c r="C99" s="253"/>
      <c r="D99" s="253"/>
      <c r="E99" s="245" t="str">
        <f>IF(B99="","",IF('Filtered Data'!$D$1="UA",VLOOKUP(B99,'Filtered Data'!AS:AU,2,FALSE),VLOOKUP(B99,'Filtered Data'!AL:AN,2,FALSE)))</f>
        <v/>
      </c>
      <c r="F99" s="245"/>
      <c r="G99" s="245"/>
      <c r="H99" s="245"/>
      <c r="I99" s="245"/>
      <c r="J99" s="245"/>
      <c r="K99" s="245"/>
      <c r="L99" s="245"/>
      <c r="M99" s="245"/>
      <c r="N99" s="245"/>
      <c r="O99" s="245"/>
      <c r="P99" s="245"/>
      <c r="Q99" s="245"/>
      <c r="R99" s="245"/>
      <c r="S99" s="245"/>
      <c r="T99" s="245"/>
      <c r="U99" s="24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3"/>
      <c r="W99" s="243"/>
      <c r="X99" s="243"/>
      <c r="Y99" s="133" t="str">
        <f>IF(E99="","",IF((VLOOKUP(E99,classifications!C:K,9,FALSE))="Sparse","S",""))</f>
        <v/>
      </c>
      <c r="AA99" s="251"/>
      <c r="AB99" s="241"/>
      <c r="AC99" s="241"/>
      <c r="AD99" s="246"/>
      <c r="AE99" s="246"/>
      <c r="AF99" s="246"/>
      <c r="AG99" s="246"/>
      <c r="AH99" s="246"/>
      <c r="AI99" s="246"/>
      <c r="AJ99" s="246"/>
      <c r="AK99" s="246"/>
      <c r="AL99" s="246"/>
      <c r="AM99" s="246"/>
      <c r="AN99" s="242"/>
      <c r="AO99" s="242"/>
      <c r="AP99" s="242"/>
      <c r="AQ99" s="242"/>
      <c r="AR99" s="133"/>
      <c r="AV99" s="56"/>
    </row>
    <row r="100" spans="2:48" ht="12" customHeight="1">
      <c r="B100" s="252" t="str">
        <f>IF('Filtered Data'!$D$1="MD","",IF('Filtered Data'!$D$1="SC","",IF('Filtered Data'!$D$1="UA",'Filtered Data'!AS19,'Filtered Data'!AL19)))</f>
        <v/>
      </c>
      <c r="C100" s="253"/>
      <c r="D100" s="253"/>
      <c r="E100" s="245" t="str">
        <f>IF(B100="","",IF('Filtered Data'!$D$1="UA",VLOOKUP(B100,'Filtered Data'!AS:AU,2,FALSE),VLOOKUP(B100,'Filtered Data'!AL:AN,2,FALSE)))</f>
        <v/>
      </c>
      <c r="F100" s="245"/>
      <c r="G100" s="245"/>
      <c r="H100" s="245"/>
      <c r="I100" s="245"/>
      <c r="J100" s="245"/>
      <c r="K100" s="245"/>
      <c r="L100" s="245"/>
      <c r="M100" s="245"/>
      <c r="N100" s="245"/>
      <c r="O100" s="245"/>
      <c r="P100" s="245"/>
      <c r="Q100" s="245"/>
      <c r="R100" s="245"/>
      <c r="S100" s="245"/>
      <c r="T100" s="245"/>
      <c r="U100" s="24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3"/>
      <c r="W100" s="243"/>
      <c r="X100" s="243"/>
      <c r="Y100" s="133" t="str">
        <f>IF(E100="","",IF((VLOOKUP(E100,classifications!C:K,9,FALSE))="Sparse","S",""))</f>
        <v/>
      </c>
      <c r="AA100" s="251"/>
      <c r="AB100" s="241"/>
      <c r="AC100" s="241"/>
      <c r="AD100" s="246"/>
      <c r="AE100" s="246"/>
      <c r="AF100" s="246"/>
      <c r="AG100" s="246"/>
      <c r="AH100" s="246"/>
      <c r="AI100" s="246"/>
      <c r="AJ100" s="246"/>
      <c r="AK100" s="246"/>
      <c r="AL100" s="246"/>
      <c r="AM100" s="246"/>
      <c r="AN100" s="242"/>
      <c r="AO100" s="242"/>
      <c r="AP100" s="242"/>
      <c r="AQ100" s="242"/>
      <c r="AR100" s="133"/>
      <c r="AV100" s="56"/>
    </row>
    <row r="101" spans="2:48" ht="12" customHeight="1">
      <c r="B101" s="252" t="str">
        <f>IF('Filtered Data'!$D$1="MD","",IF('Filtered Data'!$D$1="SC","",IF('Filtered Data'!$D$1="UA",'Filtered Data'!AS20,'Filtered Data'!AL20)))</f>
        <v/>
      </c>
      <c r="C101" s="253"/>
      <c r="D101" s="253"/>
      <c r="E101" s="245" t="str">
        <f>IF(B101="","",IF('Filtered Data'!$D$1="UA",VLOOKUP(B101,'Filtered Data'!AS:AU,2,FALSE),VLOOKUP(B101,'Filtered Data'!AL:AN,2,FALSE)))</f>
        <v/>
      </c>
      <c r="F101" s="245"/>
      <c r="G101" s="245"/>
      <c r="H101" s="245"/>
      <c r="I101" s="245"/>
      <c r="J101" s="245"/>
      <c r="K101" s="245"/>
      <c r="L101" s="245"/>
      <c r="M101" s="245"/>
      <c r="N101" s="245"/>
      <c r="O101" s="245"/>
      <c r="P101" s="245"/>
      <c r="Q101" s="245"/>
      <c r="R101" s="245"/>
      <c r="S101" s="245"/>
      <c r="T101" s="245"/>
      <c r="U101" s="24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3"/>
      <c r="W101" s="243"/>
      <c r="X101" s="243"/>
      <c r="Y101" s="133" t="str">
        <f>IF(E101="","",IF((VLOOKUP(E101,classifications!C:K,9,FALSE))="Sparse","S",""))</f>
        <v/>
      </c>
      <c r="AA101" s="251"/>
      <c r="AB101" s="241"/>
      <c r="AC101" s="241"/>
      <c r="AD101" s="246"/>
      <c r="AE101" s="246"/>
      <c r="AF101" s="246"/>
      <c r="AG101" s="246"/>
      <c r="AH101" s="246"/>
      <c r="AI101" s="246"/>
      <c r="AJ101" s="246"/>
      <c r="AK101" s="246"/>
      <c r="AL101" s="246"/>
      <c r="AM101" s="246"/>
      <c r="AN101" s="242"/>
      <c r="AO101" s="242"/>
      <c r="AP101" s="242"/>
      <c r="AQ101" s="242"/>
      <c r="AR101" s="133"/>
      <c r="AV101" s="56"/>
    </row>
    <row r="102" spans="2:48" ht="12" customHeight="1">
      <c r="B102" s="252" t="str">
        <f>IF('Filtered Data'!$D$1="MD","",IF('Filtered Data'!$D$1="SC","",IF('Filtered Data'!$D$1="UA",'Filtered Data'!AS21,'Filtered Data'!AL21)))</f>
        <v/>
      </c>
      <c r="C102" s="253"/>
      <c r="D102" s="253"/>
      <c r="E102" s="245" t="str">
        <f>IF(B102="","",IF('Filtered Data'!$D$1="UA",VLOOKUP(B102,'Filtered Data'!AS:AU,2,FALSE),VLOOKUP(B102,'Filtered Data'!AL:AN,2,FALSE)))</f>
        <v/>
      </c>
      <c r="F102" s="245"/>
      <c r="G102" s="245"/>
      <c r="H102" s="245"/>
      <c r="I102" s="245"/>
      <c r="J102" s="245"/>
      <c r="K102" s="245"/>
      <c r="L102" s="245"/>
      <c r="M102" s="245"/>
      <c r="N102" s="245"/>
      <c r="O102" s="245"/>
      <c r="P102" s="245"/>
      <c r="Q102" s="245"/>
      <c r="R102" s="245"/>
      <c r="S102" s="245"/>
      <c r="T102" s="245"/>
      <c r="U102" s="24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3"/>
      <c r="W102" s="243"/>
      <c r="X102" s="243"/>
      <c r="Y102" s="133" t="str">
        <f>IF(E102="","",IF((VLOOKUP(E102,classifications!C:K,9,FALSE))="Sparse","S",""))</f>
        <v/>
      </c>
      <c r="AA102" s="251"/>
      <c r="AB102" s="241"/>
      <c r="AC102" s="241"/>
      <c r="AD102" s="246"/>
      <c r="AE102" s="246"/>
      <c r="AF102" s="246"/>
      <c r="AG102" s="246"/>
      <c r="AH102" s="246"/>
      <c r="AI102" s="246"/>
      <c r="AJ102" s="246"/>
      <c r="AK102" s="246"/>
      <c r="AL102" s="246"/>
      <c r="AM102" s="246"/>
      <c r="AN102" s="242"/>
      <c r="AO102" s="242"/>
      <c r="AP102" s="242"/>
      <c r="AQ102" s="242"/>
      <c r="AR102" s="133"/>
      <c r="AV102" s="56"/>
    </row>
    <row r="103" spans="2:48" ht="12" customHeight="1">
      <c r="B103" s="252" t="str">
        <f>IF('Filtered Data'!$D$1="MD","",IF('Filtered Data'!$D$1="SC","",IF('Filtered Data'!$D$1="UA",'Filtered Data'!AS22,'Filtered Data'!AL22)))</f>
        <v/>
      </c>
      <c r="C103" s="253"/>
      <c r="D103" s="253"/>
      <c r="E103" s="245" t="str">
        <f>IF(B103="","",IF('Filtered Data'!$D$1="UA",VLOOKUP(B103,'Filtered Data'!AS:AU,2,FALSE),VLOOKUP(B103,'Filtered Data'!AL:AN,2,FALSE)))</f>
        <v/>
      </c>
      <c r="F103" s="245"/>
      <c r="G103" s="245"/>
      <c r="H103" s="245"/>
      <c r="I103" s="245"/>
      <c r="J103" s="245"/>
      <c r="K103" s="245"/>
      <c r="L103" s="245"/>
      <c r="M103" s="245"/>
      <c r="N103" s="245"/>
      <c r="O103" s="245"/>
      <c r="P103" s="245"/>
      <c r="Q103" s="245"/>
      <c r="R103" s="245"/>
      <c r="S103" s="245"/>
      <c r="T103" s="245"/>
      <c r="U103" s="24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3"/>
      <c r="W103" s="243"/>
      <c r="X103" s="243"/>
      <c r="Y103" s="133" t="str">
        <f>IF(E103="","",IF((VLOOKUP(E103,classifications!C:K,9,FALSE))="Sparse","S",""))</f>
        <v/>
      </c>
      <c r="AA103" s="251"/>
      <c r="AB103" s="241"/>
      <c r="AC103" s="241"/>
      <c r="AD103" s="246"/>
      <c r="AE103" s="246"/>
      <c r="AF103" s="246"/>
      <c r="AG103" s="246"/>
      <c r="AH103" s="246"/>
      <c r="AI103" s="246"/>
      <c r="AJ103" s="246"/>
      <c r="AK103" s="246"/>
      <c r="AL103" s="246"/>
      <c r="AM103" s="246"/>
      <c r="AN103" s="242"/>
      <c r="AO103" s="242"/>
      <c r="AP103" s="242"/>
      <c r="AQ103" s="242"/>
      <c r="AR103" s="133"/>
      <c r="AV103" s="56"/>
    </row>
    <row r="104" spans="2:48" ht="12" customHeight="1">
      <c r="B104" s="252" t="str">
        <f>IF('Filtered Data'!$D$1="MD","",IF('Filtered Data'!$D$1="SC","",IF('Filtered Data'!$D$1="UA",'Filtered Data'!AS23,'Filtered Data'!AL23)))</f>
        <v/>
      </c>
      <c r="C104" s="253"/>
      <c r="D104" s="253"/>
      <c r="E104" s="245" t="str">
        <f>IF(B104="","",IF('Filtered Data'!$D$1="UA",VLOOKUP(B104,'Filtered Data'!AS:AU,2,FALSE),VLOOKUP(B104,'Filtered Data'!AL:AN,2,FALSE)))</f>
        <v/>
      </c>
      <c r="F104" s="245"/>
      <c r="G104" s="245"/>
      <c r="H104" s="245"/>
      <c r="I104" s="245"/>
      <c r="J104" s="245"/>
      <c r="K104" s="245"/>
      <c r="L104" s="245"/>
      <c r="M104" s="245"/>
      <c r="N104" s="245"/>
      <c r="O104" s="245"/>
      <c r="P104" s="245"/>
      <c r="Q104" s="245"/>
      <c r="R104" s="245"/>
      <c r="S104" s="245"/>
      <c r="T104" s="245"/>
      <c r="U104" s="24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3"/>
      <c r="W104" s="243"/>
      <c r="X104" s="243"/>
      <c r="Y104" s="133" t="str">
        <f>IF(E104="","",IF((VLOOKUP(E104,classifications!C:K,9,FALSE))="Sparse","S",""))</f>
        <v/>
      </c>
      <c r="AA104" s="251"/>
      <c r="AB104" s="241"/>
      <c r="AC104" s="241"/>
      <c r="AD104" s="246"/>
      <c r="AE104" s="246"/>
      <c r="AF104" s="246"/>
      <c r="AG104" s="246"/>
      <c r="AH104" s="246"/>
      <c r="AI104" s="246"/>
      <c r="AJ104" s="246"/>
      <c r="AK104" s="246"/>
      <c r="AL104" s="246"/>
      <c r="AM104" s="246"/>
      <c r="AN104" s="242"/>
      <c r="AO104" s="242"/>
      <c r="AP104" s="242"/>
      <c r="AQ104" s="242"/>
      <c r="AR104" s="133"/>
      <c r="AV104" s="56"/>
    </row>
    <row r="105" spans="2:48" ht="12" customHeight="1">
      <c r="B105" s="252" t="str">
        <f>IF('Filtered Data'!$D$1="MD","",IF('Filtered Data'!$D$1="SC","",IF('Filtered Data'!$D$1="UA",'Filtered Data'!AS24,'Filtered Data'!AL24)))</f>
        <v/>
      </c>
      <c r="C105" s="253"/>
      <c r="D105" s="253"/>
      <c r="E105" s="245" t="str">
        <f>IF(B105="","",IF('Filtered Data'!$D$1="UA",VLOOKUP(B105,'Filtered Data'!AS:AU,2,FALSE),VLOOKUP(B105,'Filtered Data'!AL:AN,2,FALSE)))</f>
        <v/>
      </c>
      <c r="F105" s="245"/>
      <c r="G105" s="245"/>
      <c r="H105" s="245"/>
      <c r="I105" s="245"/>
      <c r="J105" s="245"/>
      <c r="K105" s="245"/>
      <c r="L105" s="245"/>
      <c r="M105" s="245"/>
      <c r="N105" s="245"/>
      <c r="O105" s="245"/>
      <c r="P105" s="245"/>
      <c r="Q105" s="245"/>
      <c r="R105" s="245"/>
      <c r="S105" s="245"/>
      <c r="T105" s="245"/>
      <c r="U105" s="24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3"/>
      <c r="W105" s="243"/>
      <c r="X105" s="243"/>
      <c r="Y105" s="133" t="str">
        <f>IF(E105="","",IF((VLOOKUP(E105,classifications!C:K,9,FALSE))="Sparse","S",""))</f>
        <v/>
      </c>
      <c r="AA105" s="251"/>
      <c r="AB105" s="241"/>
      <c r="AC105" s="241"/>
      <c r="AD105" s="246"/>
      <c r="AE105" s="246"/>
      <c r="AF105" s="246"/>
      <c r="AG105" s="246"/>
      <c r="AH105" s="246"/>
      <c r="AI105" s="246"/>
      <c r="AJ105" s="246"/>
      <c r="AK105" s="246"/>
      <c r="AL105" s="246"/>
      <c r="AM105" s="246"/>
      <c r="AN105" s="242"/>
      <c r="AO105" s="242"/>
      <c r="AP105" s="242"/>
      <c r="AQ105" s="242"/>
      <c r="AR105" s="133"/>
      <c r="AV105" s="56"/>
    </row>
    <row r="106" spans="2:48" ht="12" customHeight="1">
      <c r="B106" s="252" t="str">
        <f>IF('Filtered Data'!$D$1="MD","",IF('Filtered Data'!$D$1="SC","",IF('Filtered Data'!$D$1="UA",'Filtered Data'!AS25,'Filtered Data'!AL25)))</f>
        <v/>
      </c>
      <c r="C106" s="253"/>
      <c r="D106" s="253"/>
      <c r="E106" s="245" t="str">
        <f>IF(B106="","",IF('Filtered Data'!$D$1="UA",VLOOKUP(B106,'Filtered Data'!AS:AU,2,FALSE),VLOOKUP(B106,'Filtered Data'!AL:AN,2,FALSE)))</f>
        <v/>
      </c>
      <c r="F106" s="245"/>
      <c r="G106" s="245"/>
      <c r="H106" s="245"/>
      <c r="I106" s="245"/>
      <c r="J106" s="245"/>
      <c r="K106" s="245"/>
      <c r="L106" s="245"/>
      <c r="M106" s="245"/>
      <c r="N106" s="245"/>
      <c r="O106" s="245"/>
      <c r="P106" s="245"/>
      <c r="Q106" s="245"/>
      <c r="R106" s="245"/>
      <c r="S106" s="245"/>
      <c r="T106" s="245"/>
      <c r="U106" s="24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3"/>
      <c r="W106" s="243"/>
      <c r="X106" s="243"/>
      <c r="Y106" s="133" t="str">
        <f>IF(E106="","",IF((VLOOKUP(E106,classifications!C:K,9,FALSE))="Sparse","S",""))</f>
        <v/>
      </c>
      <c r="AA106" s="251"/>
      <c r="AB106" s="241"/>
      <c r="AC106" s="241"/>
      <c r="AD106" s="246"/>
      <c r="AE106" s="246"/>
      <c r="AF106" s="246"/>
      <c r="AG106" s="246"/>
      <c r="AH106" s="246"/>
      <c r="AI106" s="246"/>
      <c r="AJ106" s="246"/>
      <c r="AK106" s="246"/>
      <c r="AL106" s="246"/>
      <c r="AM106" s="246"/>
      <c r="AN106" s="242"/>
      <c r="AO106" s="242"/>
      <c r="AP106" s="242"/>
      <c r="AQ106" s="242"/>
      <c r="AR106" s="133"/>
      <c r="AV106" s="56"/>
    </row>
    <row r="107" spans="2:48" ht="12" customHeight="1">
      <c r="B107" s="252" t="str">
        <f>IF('Filtered Data'!$D$1="MD","",IF('Filtered Data'!$D$1="SC","",IF('Filtered Data'!$D$1="UA",'Filtered Data'!AS26,'Filtered Data'!AL26)))</f>
        <v/>
      </c>
      <c r="C107" s="253"/>
      <c r="D107" s="253"/>
      <c r="E107" s="245" t="str">
        <f>IF(B107="","",IF('Filtered Data'!$D$1="UA",VLOOKUP(B107,'Filtered Data'!AS:AU,2,FALSE),VLOOKUP(B107,'Filtered Data'!AL:AN,2,FALSE)))</f>
        <v/>
      </c>
      <c r="F107" s="245"/>
      <c r="G107" s="245"/>
      <c r="H107" s="245"/>
      <c r="I107" s="245"/>
      <c r="J107" s="245"/>
      <c r="K107" s="245"/>
      <c r="L107" s="245"/>
      <c r="M107" s="245"/>
      <c r="N107" s="245"/>
      <c r="O107" s="245"/>
      <c r="P107" s="245"/>
      <c r="Q107" s="245"/>
      <c r="R107" s="245"/>
      <c r="S107" s="245"/>
      <c r="T107" s="245"/>
      <c r="U107" s="24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3"/>
      <c r="W107" s="243"/>
      <c r="X107" s="243"/>
      <c r="Y107" s="133" t="str">
        <f>IF(E107="","",IF((VLOOKUP(E107,classifications!C:K,9,FALSE))="Sparse","S",""))</f>
        <v/>
      </c>
      <c r="AA107" s="251"/>
      <c r="AB107" s="241"/>
      <c r="AC107" s="241"/>
      <c r="AD107" s="246"/>
      <c r="AE107" s="246"/>
      <c r="AF107" s="246"/>
      <c r="AG107" s="246"/>
      <c r="AH107" s="246"/>
      <c r="AI107" s="246"/>
      <c r="AJ107" s="246"/>
      <c r="AK107" s="246"/>
      <c r="AL107" s="246"/>
      <c r="AM107" s="246"/>
      <c r="AN107" s="242"/>
      <c r="AO107" s="242"/>
      <c r="AP107" s="242"/>
      <c r="AQ107" s="242"/>
      <c r="AR107" s="133"/>
      <c r="AV107" s="56"/>
    </row>
    <row r="108" spans="2:48" ht="12" customHeight="1">
      <c r="B108" s="241"/>
      <c r="C108" s="241"/>
      <c r="D108" s="241"/>
      <c r="E108" s="244" t="str">
        <f>IF('Filtered Data'!D1="MD","",IF('Filtered Data'!D1="SC","","Average"))</f>
        <v>Average</v>
      </c>
      <c r="F108" s="244"/>
      <c r="G108" s="244"/>
      <c r="H108" s="244"/>
      <c r="I108" s="244"/>
      <c r="J108" s="244"/>
      <c r="K108" s="244"/>
      <c r="L108" s="244"/>
      <c r="M108" s="244"/>
      <c r="N108" s="244"/>
      <c r="O108" s="230"/>
      <c r="P108" s="230"/>
      <c r="Q108" s="230"/>
      <c r="R108" s="230"/>
      <c r="S108" s="230"/>
      <c r="T108" s="230"/>
      <c r="U108" s="314">
        <f>L39</f>
        <v>20.8</v>
      </c>
      <c r="V108" s="314"/>
      <c r="W108" s="314"/>
      <c r="X108" s="314"/>
      <c r="Y108" s="133"/>
      <c r="AA108" s="241"/>
      <c r="AB108" s="241"/>
      <c r="AC108" s="241"/>
      <c r="AD108" s="1"/>
      <c r="AE108" s="1"/>
      <c r="AF108" s="1"/>
      <c r="AG108" s="1"/>
      <c r="AH108" s="1"/>
      <c r="AI108" s="1"/>
      <c r="AJ108" s="1"/>
      <c r="AK108" s="1"/>
      <c r="AL108" s="1"/>
      <c r="AM108" s="21"/>
      <c r="AN108" s="315"/>
      <c r="AO108" s="315"/>
      <c r="AP108" s="315"/>
      <c r="AQ108" s="315"/>
      <c r="AV108" s="56"/>
    </row>
    <row r="109" spans="2:48" ht="12" customHeight="1">
      <c r="W109" s="18">
        <f>COUNT(AA92:AB107)</f>
        <v>0</v>
      </c>
    </row>
    <row r="110" spans="2:48" ht="19.5" customHeight="1">
      <c r="B110" s="261" t="str">
        <f>B3</f>
        <v>Speed of Processing</v>
      </c>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row>
    <row r="111" spans="2:48" ht="12" customHeight="1"/>
    <row r="112" spans="2:48" ht="12" customHeight="1">
      <c r="B112" s="244" t="s">
        <v>370</v>
      </c>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row>
    <row r="113" spans="2:40" ht="12" customHeight="1"/>
    <row r="114" spans="2:40" ht="12" customHeight="1">
      <c r="B114" s="247" t="str">
        <f>W6&amp;" - "&amp;W12</f>
        <v>Housing Benefit - New Claims - Q1 2023/24</v>
      </c>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0"/>
    </row>
    <row r="115" spans="2:40" ht="12" customHeight="1">
      <c r="B115" s="249"/>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40">
        <f>IF('Filtered Data'!H8="..",L35,L35*100)</f>
        <v>17</v>
      </c>
      <c r="H118" s="240"/>
      <c r="I118" s="240"/>
      <c r="J118" s="240"/>
      <c r="K118" s="240"/>
      <c r="M118" s="241">
        <f>K$48</f>
        <v>15</v>
      </c>
      <c r="N118" s="241"/>
      <c r="O118" s="241">
        <f>M$48</f>
        <v>19</v>
      </c>
      <c r="P118" s="241"/>
      <c r="Q118" s="241">
        <f>O$48</f>
        <v>23.5</v>
      </c>
      <c r="R118" s="241"/>
      <c r="AN118" s="6"/>
    </row>
    <row r="119" spans="2:40" ht="12" customHeight="1">
      <c r="B119" s="5"/>
      <c r="F119" t="s">
        <v>380</v>
      </c>
      <c r="G119" s="240">
        <f>IF('Filtered Data'!H8="%%",(AVERAGEIF('Filtered Data'!AA$10:AA$333,$F119,'Filtered Data'!M$10:M$333))*100,(AVERAGEIF('Filtered Data'!AA$10:AA$333,$F119,'Filtered Data'!M$10:M$333)))</f>
        <v>20.482758620689655</v>
      </c>
      <c r="H119" s="240"/>
      <c r="I119" s="240"/>
      <c r="J119" s="240"/>
      <c r="K119" s="240"/>
      <c r="M119" s="241">
        <f>K$48</f>
        <v>15</v>
      </c>
      <c r="N119" s="241"/>
      <c r="O119" s="241">
        <f>M$48</f>
        <v>19</v>
      </c>
      <c r="P119" s="241"/>
      <c r="Q119" s="241">
        <f>O$48</f>
        <v>23.5</v>
      </c>
      <c r="R119" s="241"/>
      <c r="AN119" s="6"/>
    </row>
    <row r="120" spans="2:40" ht="12" customHeight="1">
      <c r="B120" s="5"/>
      <c r="F120" t="s">
        <v>382</v>
      </c>
      <c r="G120" s="240">
        <f>IF('Filtered Data'!H8="%%",(AVERAGEIF('Filtered Data'!AA$10:AA$333,$F120,'Filtered Data'!M$10:M$333))*100,(AVERAGEIF('Filtered Data'!AA$10:AA$333,$F120,'Filtered Data'!M$10:M$333)))</f>
        <v>18.840579710144926</v>
      </c>
      <c r="H120" s="240"/>
      <c r="I120" s="240"/>
      <c r="J120" s="240"/>
      <c r="K120" s="240"/>
      <c r="M120" s="241">
        <f>K$48</f>
        <v>15</v>
      </c>
      <c r="N120" s="241"/>
      <c r="O120" s="241">
        <f>M$48</f>
        <v>19</v>
      </c>
      <c r="P120" s="241"/>
      <c r="Q120" s="241">
        <f>O$48</f>
        <v>23.5</v>
      </c>
      <c r="R120" s="241"/>
      <c r="AN120" s="6"/>
    </row>
    <row r="121" spans="2:40" ht="12" customHeight="1">
      <c r="B121" s="5"/>
      <c r="F121" t="s">
        <v>889</v>
      </c>
      <c r="G121" s="240">
        <f>IF('Filtered Data'!H8="%%",(AVERAGEIF('Filtered Data'!AA$10:AA$333,$F121,'Filtered Data'!M$10:M$333))*100,(AVERAGEIF('Filtered Data'!AA$10:AA$333,$F121,'Filtered Data'!M$10:M$333)))</f>
        <v>21.62857142857143</v>
      </c>
      <c r="H121" s="240"/>
      <c r="I121" s="240"/>
      <c r="J121" s="240"/>
      <c r="K121" s="240"/>
      <c r="M121" s="241">
        <f>K$48</f>
        <v>15</v>
      </c>
      <c r="N121" s="241"/>
      <c r="O121" s="241">
        <f>M$48</f>
        <v>19</v>
      </c>
      <c r="P121" s="241"/>
      <c r="Q121" s="241">
        <f>O$48</f>
        <v>23.5</v>
      </c>
      <c r="R121" s="241"/>
      <c r="AN121" s="6"/>
    </row>
    <row r="122" spans="2:40" ht="12" customHeight="1">
      <c r="B122" s="5"/>
      <c r="G122" s="240"/>
      <c r="H122" s="240"/>
      <c r="I122" s="240"/>
      <c r="J122" s="240"/>
      <c r="K122" s="240"/>
      <c r="M122" s="241"/>
      <c r="N122" s="241"/>
      <c r="O122" s="241"/>
      <c r="P122" s="241"/>
      <c r="Q122" s="241"/>
      <c r="R122" s="241"/>
      <c r="AN122" s="6"/>
    </row>
    <row r="123" spans="2:40" ht="12" customHeight="1">
      <c r="B123" s="5"/>
      <c r="G123" s="240"/>
      <c r="H123" s="240"/>
      <c r="I123" s="240"/>
      <c r="J123" s="240"/>
      <c r="K123" s="240"/>
      <c r="M123" s="241"/>
      <c r="N123" s="241"/>
      <c r="O123" s="241"/>
      <c r="P123" s="241"/>
      <c r="Q123" s="241"/>
      <c r="R123" s="241"/>
      <c r="AN123" s="6"/>
    </row>
    <row r="124" spans="2:40" ht="12" customHeight="1">
      <c r="B124" s="5"/>
      <c r="G124" s="240"/>
      <c r="H124" s="240"/>
      <c r="I124" s="240"/>
      <c r="J124" s="240"/>
      <c r="K124" s="240"/>
      <c r="M124" s="241"/>
      <c r="N124" s="241"/>
      <c r="O124" s="241"/>
      <c r="P124" s="241"/>
      <c r="Q124" s="241"/>
      <c r="R124" s="24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904</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234"/>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6"/>
    </row>
    <row r="140" spans="2:40">
      <c r="B140" s="234"/>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6"/>
    </row>
    <row r="141" spans="2:40">
      <c r="B141" s="234"/>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6"/>
    </row>
    <row r="142" spans="2:40">
      <c r="B142" s="234"/>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6"/>
    </row>
    <row r="143" spans="2:40">
      <c r="B143" s="234"/>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6"/>
    </row>
    <row r="144" spans="2:40">
      <c r="B144" s="234"/>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235"/>
      <c r="AC144" s="235"/>
      <c r="AD144" s="235"/>
      <c r="AE144" s="235"/>
      <c r="AF144" s="235"/>
      <c r="AG144" s="235"/>
      <c r="AH144" s="235"/>
      <c r="AI144" s="235"/>
      <c r="AJ144" s="235"/>
      <c r="AK144" s="235"/>
      <c r="AL144" s="235"/>
      <c r="AM144" s="235"/>
      <c r="AN144" s="236"/>
    </row>
    <row r="145" spans="2:40">
      <c r="B145" s="234"/>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6"/>
    </row>
    <row r="146" spans="2:40">
      <c r="B146" s="234"/>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6"/>
    </row>
    <row r="147" spans="2:40">
      <c r="B147" s="234"/>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6"/>
    </row>
    <row r="148" spans="2:40">
      <c r="B148" s="234"/>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6"/>
    </row>
    <row r="149" spans="2:40">
      <c r="B149" s="234"/>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6"/>
    </row>
    <row r="150" spans="2:40">
      <c r="B150" s="234"/>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5"/>
      <c r="AJ150" s="235"/>
      <c r="AK150" s="235"/>
      <c r="AL150" s="235"/>
      <c r="AM150" s="235"/>
      <c r="AN150" s="236"/>
    </row>
    <row r="151" spans="2:40">
      <c r="B151" s="234"/>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6"/>
    </row>
    <row r="152" spans="2:40">
      <c r="B152" s="234"/>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6"/>
    </row>
    <row r="153" spans="2:40">
      <c r="B153" s="234"/>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6"/>
    </row>
    <row r="154" spans="2:40">
      <c r="B154" s="234"/>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6"/>
    </row>
    <row r="155" spans="2:40">
      <c r="B155" s="234"/>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6"/>
    </row>
    <row r="156" spans="2:40">
      <c r="B156" s="234"/>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6"/>
    </row>
    <row r="157" spans="2:40">
      <c r="B157" s="234"/>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6"/>
    </row>
    <row r="158" spans="2:40">
      <c r="B158" s="234"/>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c r="AF158" s="235"/>
      <c r="AG158" s="235"/>
      <c r="AH158" s="235"/>
      <c r="AI158" s="235"/>
      <c r="AJ158" s="235"/>
      <c r="AK158" s="235"/>
      <c r="AL158" s="235"/>
      <c r="AM158" s="235"/>
      <c r="AN158" s="236"/>
    </row>
    <row r="159" spans="2:40">
      <c r="B159" s="234"/>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235"/>
      <c r="AC159" s="235"/>
      <c r="AD159" s="235"/>
      <c r="AE159" s="235"/>
      <c r="AF159" s="235"/>
      <c r="AG159" s="235"/>
      <c r="AH159" s="235"/>
      <c r="AI159" s="235"/>
      <c r="AJ159" s="235"/>
      <c r="AK159" s="235"/>
      <c r="AL159" s="235"/>
      <c r="AM159" s="235"/>
      <c r="AN159" s="236"/>
    </row>
    <row r="160" spans="2:40">
      <c r="B160" s="234"/>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6"/>
    </row>
    <row r="161" spans="2:40">
      <c r="B161" s="234"/>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c r="AA161" s="235"/>
      <c r="AB161" s="235"/>
      <c r="AC161" s="235"/>
      <c r="AD161" s="235"/>
      <c r="AE161" s="235"/>
      <c r="AF161" s="235"/>
      <c r="AG161" s="235"/>
      <c r="AH161" s="235"/>
      <c r="AI161" s="235"/>
      <c r="AJ161" s="235"/>
      <c r="AK161" s="235"/>
      <c r="AL161" s="235"/>
      <c r="AM161" s="235"/>
      <c r="AN161" s="236"/>
    </row>
    <row r="162" spans="2:40">
      <c r="B162" s="234"/>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5"/>
      <c r="AG162" s="235"/>
      <c r="AH162" s="235"/>
      <c r="AI162" s="235"/>
      <c r="AJ162" s="235"/>
      <c r="AK162" s="235"/>
      <c r="AL162" s="235"/>
      <c r="AM162" s="235"/>
      <c r="AN162" s="236"/>
    </row>
    <row r="163" spans="2:40">
      <c r="B163" s="234"/>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35"/>
      <c r="AE163" s="235"/>
      <c r="AF163" s="235"/>
      <c r="AG163" s="235"/>
      <c r="AH163" s="235"/>
      <c r="AI163" s="235"/>
      <c r="AJ163" s="235"/>
      <c r="AK163" s="235"/>
      <c r="AL163" s="235"/>
      <c r="AM163" s="235"/>
      <c r="AN163" s="236"/>
    </row>
    <row r="164" spans="2:40">
      <c r="B164" s="234"/>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6"/>
    </row>
    <row r="165" spans="2:40">
      <c r="B165" s="234"/>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6"/>
    </row>
    <row r="166" spans="2:40">
      <c r="B166" s="234"/>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c r="AF166" s="235"/>
      <c r="AG166" s="235"/>
      <c r="AH166" s="235"/>
      <c r="AI166" s="235"/>
      <c r="AJ166" s="235"/>
      <c r="AK166" s="235"/>
      <c r="AL166" s="235"/>
      <c r="AM166" s="235"/>
      <c r="AN166" s="236"/>
    </row>
    <row r="167" spans="2:40">
      <c r="B167" s="234"/>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6"/>
    </row>
    <row r="168" spans="2:40" ht="13.8" thickBot="1">
      <c r="B168" s="237"/>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c r="AA168" s="238"/>
      <c r="AB168" s="238"/>
      <c r="AC168" s="238"/>
      <c r="AD168" s="238"/>
      <c r="AE168" s="238"/>
      <c r="AF168" s="238"/>
      <c r="AG168" s="238"/>
      <c r="AH168" s="238"/>
      <c r="AI168" s="238"/>
      <c r="AJ168" s="238"/>
      <c r="AK168" s="238"/>
      <c r="AL168" s="238"/>
      <c r="AM168" s="238"/>
      <c r="AN168" s="239"/>
    </row>
    <row r="169" spans="2:40"/>
  </sheetData>
  <sheetProtection algorithmName="SHA-512" hashValue="NIlpVsss1uQTVAyJghLYGaAgQaVkWIjsiBRjf7zCxHFbaSvNyOqFdPjL8UsOVElGfg0ysNXRmt4W/IitW0kp8A==" saltValue="EFGe4kI8NWC1/dZcIt5Tc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1" t="s">
        <v>824</v>
      </c>
      <c r="U1" s="322"/>
      <c r="V1" s="322"/>
      <c r="W1" s="323"/>
      <c r="X1" s="57"/>
      <c r="AA1" s="321" t="s">
        <v>823</v>
      </c>
      <c r="AB1" s="322"/>
      <c r="AC1" s="322"/>
      <c r="AD1" s="323"/>
      <c r="AE1" s="59"/>
      <c r="AI1" s="57"/>
      <c r="AP1" s="57"/>
      <c r="AQ1" s="68"/>
      <c r="AW1" s="74"/>
      <c r="AY1" s="123"/>
    </row>
    <row r="2" spans="1:735" s="34" customFormat="1">
      <c r="A2" s="52"/>
      <c r="B2" s="52"/>
      <c r="H2" s="70"/>
      <c r="I2" s="70"/>
      <c r="K2" s="57"/>
      <c r="L2" s="34" t="s">
        <v>384</v>
      </c>
      <c r="M2" s="82" t="s">
        <v>412</v>
      </c>
      <c r="N2" s="82" t="s">
        <v>418</v>
      </c>
      <c r="O2" s="82"/>
      <c r="P2" s="83"/>
      <c r="Q2" s="83"/>
      <c r="R2" s="83"/>
      <c r="S2" s="58"/>
      <c r="T2" s="321"/>
      <c r="U2" s="322"/>
      <c r="V2" s="322"/>
      <c r="W2" s="323"/>
      <c r="X2" s="319"/>
      <c r="Y2" s="320"/>
      <c r="Z2" s="320"/>
      <c r="AA2" s="321"/>
      <c r="AB2" s="322"/>
      <c r="AC2" s="322"/>
      <c r="AD2" s="323"/>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Q1 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4</v>
      </c>
      <c r="Q7" s="101">
        <f>IF(I8="A",MAX(N11:N333),MIN(N11:N333))</f>
        <v>72</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Babergh</v>
      </c>
      <c r="Q8" s="102">
        <f>VLOOKUP(D3,L11:N333,3,FALSE)</f>
        <v>17</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20.067484662576685</v>
      </c>
      <c r="N9" s="81"/>
      <c r="O9" s="84" t="s">
        <v>340</v>
      </c>
      <c r="P9" s="84" t="s">
        <v>351</v>
      </c>
      <c r="Q9" s="84" t="s">
        <v>352</v>
      </c>
      <c r="R9" s="86" t="s">
        <v>399</v>
      </c>
      <c r="S9" s="36"/>
      <c r="T9" s="168" t="s">
        <v>819</v>
      </c>
      <c r="U9" s="169">
        <f>IF($H$8="%.",(AVERAGE(U11:U333))/100,(AVERAGE(U11:U333)))</f>
        <v>20.456521739130434</v>
      </c>
      <c r="V9" s="170"/>
      <c r="W9" s="170"/>
      <c r="X9" s="79" t="str">
        <f>"Lower Level Ranking for Authorites in "&amp;H3&amp;" &amp; are a "&amp;F3</f>
        <v>Lower Level Ranking for Authorites in Predominantly Rural  &amp; are a SD</v>
      </c>
      <c r="Y9" s="81">
        <f>IF($H$8="%.",(AVERAGE(Y11:Y333))/100,(AVERAGE(Y11:Y333)))</f>
        <v>20.576271186440678</v>
      </c>
      <c r="Z9" s="80"/>
      <c r="AA9" s="175" t="s">
        <v>378</v>
      </c>
      <c r="AB9" s="169">
        <f>IF($H$8="%.",(AVERAGE(AB11:AB333))/100,(AVERAGE(AB11:AB333)))</f>
        <v>20.482758620689655</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20.8</v>
      </c>
      <c r="AK9" s="80"/>
      <c r="AL9" s="44"/>
      <c r="AM9"/>
      <c r="AN9"/>
      <c r="AP9" s="79" t="str">
        <f>"Regional Ranking in for "&amp;F3</f>
        <v>Regional Ranking in for SD</v>
      </c>
      <c r="AQ9" s="81">
        <f>IF($H$8="%.",(AVERAGE(AQ11:AQ333))/100,(AVERAGE(AQ11:AQ333)))</f>
        <v>19.564102564102566</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15</v>
      </c>
      <c r="P10" s="88">
        <f>QUARTILE(N:N,2)</f>
        <v>19</v>
      </c>
      <c r="Q10" s="88">
        <f>IF(I8="A",QUARTILE(N:N,3),QUARTILE(N:N,1))</f>
        <v>23.5</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Q1 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32</v>
      </c>
      <c r="G11" s="15"/>
      <c r="H11" s="41">
        <f t="shared" ref="H11:H74" si="1">IF(D11=$D$1,HLOOKUP($D$6,$AX$10:$ZZ$337,ROW()-9,FALSE),"")</f>
        <v>32</v>
      </c>
      <c r="I11" s="73">
        <f>IF(H11="","",IF($I$8="A",(RANK(H11,H$11:H$333,1)+COUNTIF(H$11:H11,H11)-1),(RANK(H11,H$11:H$333)+COUNTIF(H$11:H11,H11)-1)))</f>
        <v>155</v>
      </c>
      <c r="J11" s="40"/>
      <c r="K11" s="35">
        <v>1</v>
      </c>
      <c r="L11" t="str">
        <f t="shared" ref="L11:L74" si="2">IF(K11="","",INDEX(C$11:C$327,MATCH(K11,I$11:I$333,0)))</f>
        <v>Rushmoor</v>
      </c>
      <c r="M11" s="109">
        <f t="shared" ref="M11:M74" si="3">IF(L11="","",IF(VLOOKUP(L11,C:D,2,FALSE)=$F$3,VLOOKUP(L11,C:H,6,FALSE),""))</f>
        <v>4</v>
      </c>
      <c r="N11" s="104">
        <f>IF(L11="","",IF($H$8="%%",M11*100,M11))</f>
        <v>4</v>
      </c>
      <c r="O11" s="89">
        <f>IF(I$8="A",IF(N11&gt;=$P$7,IF(N11&lt;=$O$10,N11,""),""),IF(N11&lt;=$P$7,IF(N11&gt;=$O$10,N11,""),""))</f>
        <v>4</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17</v>
      </c>
      <c r="AH11" s="46" t="e">
        <f>AE11</f>
        <v>#N/A</v>
      </c>
      <c r="AI11" s="5" t="str">
        <f>IF(L11="","",VLOOKUP($L11,classifications!$C:$J,8,FALSE))</f>
        <v>Hampshire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17</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Three Rivers</v>
      </c>
      <c r="AU11" s="42">
        <f t="shared" ref="AU11:AU74" si="9">IF(AT11="","",VLOOKUP(AT11,L:M,2,FALSE))</f>
        <v>6</v>
      </c>
      <c r="AX11">
        <f>HLOOKUP($AX$9&amp;$AX$10,Data!$A$1:$ZT$1975,(MATCH($C11,Data!$A$1:$A$1975,0)),FALSE)</f>
        <v>32</v>
      </c>
    </row>
    <row r="12" spans="1:735">
      <c r="A12" s="55" t="str">
        <f>$D$1&amp;2</f>
        <v>SD2</v>
      </c>
      <c r="B12" s="56" t="str">
        <f>IF(ISERROR(VLOOKUP(A12,classifications!A:C,3,FALSE)),0,VLOOKUP(A12,classifications!A:C,3,FALSE))</f>
        <v>Boston</v>
      </c>
      <c r="C12" t="s">
        <v>896</v>
      </c>
      <c r="D12" t="str">
        <f>VLOOKUP($C12,classifications!$C:$J,4,FALSE)</f>
        <v>UA</v>
      </c>
      <c r="E12" t="str">
        <f>VLOOKUP(C12,classifications!C:K,9,FALSE)</f>
        <v>Sparse</v>
      </c>
      <c r="F12">
        <f t="shared" si="0"/>
        <v>19.56088560885609</v>
      </c>
      <c r="G12" s="15"/>
      <c r="H12" s="41" t="str">
        <f t="shared" si="1"/>
        <v/>
      </c>
      <c r="I12" s="73" t="str">
        <f>IF(H12="","",IF($I$8="A",(RANK(H12,H$11:H$333,1)+COUNTIF(H$11:H12,H12)-1),(RANK(H12,H$11:H$333)+COUNTIF(H$11:H12,H12)-1)))</f>
        <v/>
      </c>
      <c r="J12" s="40"/>
      <c r="K12" s="35">
        <f t="shared" ref="K12:K75" si="10">IF(K11="","",IF(K11+1&gt;(COUNT(H$11:H$333)),"",K11+1))</f>
        <v>2</v>
      </c>
      <c r="L12" t="str">
        <f t="shared" si="2"/>
        <v>Three Rivers</v>
      </c>
      <c r="M12" s="109">
        <f t="shared" si="3"/>
        <v>6</v>
      </c>
      <c r="N12" s="104">
        <f>IF(L12="","",IF($H$8="%%",M12*100,M12))</f>
        <v>6</v>
      </c>
      <c r="O12" s="89">
        <f t="shared" ref="O12" si="11">IF(I$8="A",IF(N12&gt;=$P$7,IF(N12&lt;=$O$10,N12,""),""),IF(N12&lt;=$P$7,IF(N12&gt;=$O$10,N12,""),""))</f>
        <v>6</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Hertfordshire</v>
      </c>
      <c r="AJ12" s="42" t="str">
        <f t="shared" si="5"/>
        <v/>
      </c>
      <c r="AK12" s="39" t="str">
        <f>IF(AJ12="","",IF(I$8="A",(RANK(AJ12,AJ$11:AJ$333,1)+COUNTIF(AJ$11:AJ12,AJ12)-1),(RANK(AJ12,AJ$11:AJ$333)+COUNTIF(AJ$11:AJ12,AJ12)-1)))</f>
        <v/>
      </c>
      <c r="AL12" s="3">
        <f t="shared" ref="AL12:AL75" si="16">IF(AL11="","",IF(AL11+1&gt;(COUNT(AJ$11:AJ$333)),"",AL11+1))</f>
        <v>2</v>
      </c>
      <c r="AM12" t="str">
        <f t="shared" si="6"/>
        <v>Mid Suffolk</v>
      </c>
      <c r="AN12">
        <f t="shared" si="7"/>
        <v>18</v>
      </c>
      <c r="AP12" s="5" t="str">
        <f>IF(L12="","",VLOOKUP($L12,classifications!$C:$E,3,FALSE))</f>
        <v>East of England</v>
      </c>
      <c r="AQ12" s="42">
        <f t="shared" ref="AQ12" si="17">IF(AP12=$G$3,$M12,"")</f>
        <v>6</v>
      </c>
      <c r="AR12" s="39">
        <f>IF(AQ12="","",IF(I$8="A",(RANK(AQ12,AQ$11:AQ$333,1)+COUNTIF(AQ$11:AQ12,AQ12)-1),(RANK(AQ12,AQ$11:AQ$333)+COUNTIF(AQ$11:AQ12,AQ12)-1)))</f>
        <v>1</v>
      </c>
      <c r="AS12" s="3">
        <f t="shared" ref="AS12:AS75" si="18">IF(AS11="","",IF(AS11+1&gt;(COUNT(AQ$11:AQ$333)),"",AS11+1))</f>
        <v>2</v>
      </c>
      <c r="AT12" s="39" t="str">
        <f t="shared" si="8"/>
        <v>Watford</v>
      </c>
      <c r="AU12" s="42">
        <f t="shared" si="9"/>
        <v>8</v>
      </c>
      <c r="AX12">
        <f>HLOOKUP($AX$9&amp;$AX$10,Data!$A$1:$ZT$1975,(MATCH($C12,Data!$A$1:$A$1975,0)),FALSE)</f>
        <v>19.56088560885609</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20</v>
      </c>
      <c r="G13" s="15"/>
      <c r="H13" s="41">
        <f t="shared" si="1"/>
        <v>20</v>
      </c>
      <c r="I13" s="73">
        <f>IF(H13="","",IF($I$8="A",(RANK(H13,H$11:H$333,1)+COUNTIF(H$11:H13,H13)-1),(RANK(H13,H$11:H$333)+COUNTIF(H$11:H13,H13)-1)))</f>
        <v>83</v>
      </c>
      <c r="J13" s="40"/>
      <c r="K13" s="35">
        <f t="shared" si="10"/>
        <v>3</v>
      </c>
      <c r="L13" t="str">
        <f t="shared" si="2"/>
        <v>Pendle</v>
      </c>
      <c r="M13" s="109">
        <f t="shared" si="3"/>
        <v>7</v>
      </c>
      <c r="N13" s="104">
        <f t="shared" ref="N13:N57" si="19">IF(L13="","",IF($H$8="%%",M13*100,M13))</f>
        <v>7</v>
      </c>
      <c r="O13" s="89">
        <f t="shared" ref="O13:O57" si="20">IF(I$8="A",IF(N13&gt;=$P$7,IF(N13&lt;=$O$10,N13,""),""),IF(N13&lt;=$P$7,IF(N13&gt;=$O$10,N13,""),""))</f>
        <v>7</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Lancashire</v>
      </c>
      <c r="AJ13" s="42" t="str">
        <f t="shared" ref="AJ13:AJ57" si="29">IF(AI13=$I$3,M13,"")</f>
        <v/>
      </c>
      <c r="AK13" s="39" t="str">
        <f>IF(AJ13="","",IF(I$8="A",(RANK(AJ13,AJ$11:AJ$333,1)+COUNTIF(AJ$11:AJ13,AJ13)-1),(RANK(AJ13,AJ$11:AJ$333)+COUNTIF(AJ$11:AJ13,AJ13)-1)))</f>
        <v/>
      </c>
      <c r="AL13" s="3">
        <f t="shared" si="16"/>
        <v>3</v>
      </c>
      <c r="AM13" t="str">
        <f t="shared" si="6"/>
        <v>Ipswich</v>
      </c>
      <c r="AN13">
        <f t="shared" si="7"/>
        <v>19</v>
      </c>
      <c r="AP13" s="5" t="str">
        <f>IF(L13="","",VLOOKUP($L13,classifications!$C:$E,3,FALSE))</f>
        <v>North West</v>
      </c>
      <c r="AQ13" s="42" t="str">
        <f t="shared" ref="AQ13:AQ57" si="30">IF(AP13=$G$3,$M13,"")</f>
        <v/>
      </c>
      <c r="AR13" s="39" t="str">
        <f>IF(AQ13="","",IF(I$8="A",(RANK(AQ13,AQ$11:AQ$333,1)+COUNTIF(AQ$11:AQ13,AQ13)-1),(RANK(AQ13,AQ$11:AQ$333)+COUNTIF(AQ$11:AQ13,AQ13)-1)))</f>
        <v/>
      </c>
      <c r="AS13" s="3">
        <f t="shared" si="18"/>
        <v>3</v>
      </c>
      <c r="AT13" s="39" t="str">
        <f t="shared" si="8"/>
        <v>Welwyn Hatfield</v>
      </c>
      <c r="AU13" s="42">
        <f t="shared" si="9"/>
        <v>9</v>
      </c>
      <c r="AX13">
        <f>HLOOKUP($AX$9&amp;$AX$10,Data!$A$1:$ZT$1975,(MATCH($C13,Data!$A$1:$A$1975,0)),FALSE)</f>
        <v>20</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14</v>
      </c>
      <c r="G14" s="15"/>
      <c r="H14" s="41">
        <f t="shared" si="1"/>
        <v>14</v>
      </c>
      <c r="I14" s="73">
        <f>IF(H14="","",IF($I$8="A",(RANK(H14,H$11:H$333,1)+COUNTIF(H$11:H14,H14)-1),(RANK(H14,H$11:H$333)+COUNTIF(H$11:H14,H14)-1)))</f>
        <v>30</v>
      </c>
      <c r="J14" s="40"/>
      <c r="K14" s="35">
        <f t="shared" si="10"/>
        <v>4</v>
      </c>
      <c r="L14" t="str">
        <f t="shared" si="2"/>
        <v>Broxtowe</v>
      </c>
      <c r="M14" s="109">
        <f t="shared" si="3"/>
        <v>8</v>
      </c>
      <c r="N14" s="104">
        <f t="shared" si="19"/>
        <v>8</v>
      </c>
      <c r="O14" s="89">
        <f t="shared" si="20"/>
        <v>8</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Nottinghamshire</v>
      </c>
      <c r="AJ14" s="42" t="str">
        <f t="shared" si="29"/>
        <v/>
      </c>
      <c r="AK14" s="39" t="str">
        <f>IF(AJ14="","",IF(I$8="A",(RANK(AJ14,AJ$11:AJ$333,1)+COUNTIF(AJ$11:AJ14,AJ14)-1),(RANK(AJ14,AJ$11:AJ$333)+COUNTIF(AJ$11:AJ14,AJ14)-1)))</f>
        <v/>
      </c>
      <c r="AL14" s="3">
        <f t="shared" si="16"/>
        <v>4</v>
      </c>
      <c r="AM14" t="str">
        <f t="shared" si="6"/>
        <v>West Suffolk</v>
      </c>
      <c r="AN14">
        <f t="shared" si="7"/>
        <v>24</v>
      </c>
      <c r="AP14" s="5" t="str">
        <f>IF(L14="","",VLOOKUP($L14,classifications!$C:$E,3,FALSE))</f>
        <v>East Midlands</v>
      </c>
      <c r="AQ14" s="42" t="str">
        <f t="shared" si="30"/>
        <v/>
      </c>
      <c r="AR14" s="39" t="str">
        <f>IF(AQ14="","",IF(I$8="A",(RANK(AQ14,AQ$11:AQ$333,1)+COUNTIF(AQ$11:AQ14,AQ14)-1),(RANK(AQ14,AQ$11:AQ$333)+COUNTIF(AQ$11:AQ14,AQ14)-1)))</f>
        <v/>
      </c>
      <c r="AS14" s="3">
        <f t="shared" si="18"/>
        <v>4</v>
      </c>
      <c r="AT14" s="39" t="str">
        <f t="shared" si="8"/>
        <v>Cambridge</v>
      </c>
      <c r="AU14" s="42">
        <f t="shared" si="9"/>
        <v>11</v>
      </c>
      <c r="AX14">
        <f>HLOOKUP($AX$9&amp;$AX$10,Data!$A$1:$ZT$1975,(MATCH($C14,Data!$A$1:$A$1975,0)),FALSE)</f>
        <v>14</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20</v>
      </c>
      <c r="G15" s="15"/>
      <c r="H15" s="41">
        <f t="shared" si="1"/>
        <v>20</v>
      </c>
      <c r="I15" s="73">
        <f>IF(H15="","",IF($I$8="A",(RANK(H15,H$11:H$333,1)+COUNTIF(H$11:H15,H15)-1),(RANK(H15,H$11:H$333)+COUNTIF(H$11:H15,H15)-1)))</f>
        <v>84</v>
      </c>
      <c r="J15" s="40"/>
      <c r="K15" s="35">
        <f t="shared" si="10"/>
        <v>5</v>
      </c>
      <c r="L15" t="str">
        <f t="shared" si="2"/>
        <v>Burnley</v>
      </c>
      <c r="M15" s="109">
        <f t="shared" si="3"/>
        <v>8</v>
      </c>
      <c r="N15" s="104">
        <f t="shared" si="19"/>
        <v>8</v>
      </c>
      <c r="O15" s="89">
        <f t="shared" si="20"/>
        <v>8</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Lancashire</v>
      </c>
      <c r="AJ15" s="42" t="str">
        <f t="shared" si="29"/>
        <v/>
      </c>
      <c r="AK15" s="39" t="str">
        <f>IF(AJ15="","",IF(I$8="A",(RANK(AJ15,AJ$11:AJ$333,1)+COUNTIF(AJ$11:AJ15,AJ15)-1),(RANK(AJ15,AJ$11:AJ$333)+COUNTIF(AJ$11:AJ15,AJ15)-1)))</f>
        <v/>
      </c>
      <c r="AL15" s="3">
        <f t="shared" si="16"/>
        <v>5</v>
      </c>
      <c r="AM15" t="str">
        <f t="shared" si="6"/>
        <v>East Suffolk</v>
      </c>
      <c r="AN15">
        <f t="shared" si="7"/>
        <v>26</v>
      </c>
      <c r="AP15" s="5" t="str">
        <f>IF(L15="","",VLOOKUP($L15,classifications!$C:$E,3,FALSE))</f>
        <v>North West</v>
      </c>
      <c r="AQ15" s="42" t="str">
        <f t="shared" si="30"/>
        <v/>
      </c>
      <c r="AR15" s="39" t="str">
        <f>IF(AQ15="","",IF(I$8="A",(RANK(AQ15,AQ$11:AQ$333,1)+COUNTIF(AQ$11:AQ15,AQ15)-1),(RANK(AQ15,AQ$11:AQ$333)+COUNTIF(AQ$11:AQ15,AQ15)-1)))</f>
        <v/>
      </c>
      <c r="AS15" s="3">
        <f t="shared" si="18"/>
        <v>5</v>
      </c>
      <c r="AT15" s="39" t="str">
        <f t="shared" si="8"/>
        <v>South Norfolk</v>
      </c>
      <c r="AU15" s="42">
        <f t="shared" si="9"/>
        <v>11</v>
      </c>
      <c r="AX15">
        <f>HLOOKUP($AX$9&amp;$AX$10,Data!$A$1:$ZT$1975,(MATCH($C15,Data!$A$1:$A$1975,0)),FALSE)</f>
        <v>20</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21</v>
      </c>
      <c r="G16" s="15"/>
      <c r="H16" s="41">
        <f t="shared" si="1"/>
        <v>21</v>
      </c>
      <c r="I16" s="73">
        <f>IF(H16="","",IF($I$8="A",(RANK(H16,H$11:H$333,1)+COUNTIF(H$11:H16,H16)-1),(RANK(H16,H$11:H$333)+COUNTIF(H$11:H16,H16)-1)))</f>
        <v>91</v>
      </c>
      <c r="J16" s="40"/>
      <c r="K16" s="35">
        <f t="shared" si="10"/>
        <v>6</v>
      </c>
      <c r="L16" t="str">
        <f t="shared" si="2"/>
        <v>Elmbridge</v>
      </c>
      <c r="M16" s="109">
        <f t="shared" si="3"/>
        <v>8</v>
      </c>
      <c r="N16" s="104">
        <f t="shared" si="19"/>
        <v>8</v>
      </c>
      <c r="O16" s="89">
        <f t="shared" si="20"/>
        <v>8</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Surrey</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St Albans</v>
      </c>
      <c r="AU16" s="42">
        <f t="shared" si="9"/>
        <v>11</v>
      </c>
      <c r="AX16">
        <f>HLOOKUP($AX$9&amp;$AX$10,Data!$A$1:$ZT$1975,(MATCH($C16,Data!$A$1:$A$1975,0)),FALSE)</f>
        <v>21</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17</v>
      </c>
      <c r="G17" s="15"/>
      <c r="H17" s="41">
        <f t="shared" si="1"/>
        <v>17</v>
      </c>
      <c r="I17" s="73">
        <f>IF(H17="","",IF($I$8="A",(RANK(H17,H$11:H$333,1)+COUNTIF(H$11:H17,H17)-1),(RANK(H17,H$11:H$333)+COUNTIF(H$11:H17,H17)-1)))</f>
        <v>53</v>
      </c>
      <c r="J17" s="40"/>
      <c r="K17" s="35">
        <f t="shared" si="10"/>
        <v>7</v>
      </c>
      <c r="L17" t="str">
        <f t="shared" si="2"/>
        <v>Watford</v>
      </c>
      <c r="M17" s="109">
        <f t="shared" si="3"/>
        <v>8</v>
      </c>
      <c r="N17" s="104">
        <f t="shared" si="19"/>
        <v>8</v>
      </c>
      <c r="O17" s="89">
        <f t="shared" si="20"/>
        <v>8</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Hertfordshire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of England</v>
      </c>
      <c r="AQ17" s="42">
        <f t="shared" si="30"/>
        <v>8</v>
      </c>
      <c r="AR17" s="39">
        <f>IF(AQ17="","",IF(I$8="A",(RANK(AQ17,AQ$11:AQ$333,1)+COUNTIF(AQ$11:AQ17,AQ17)-1),(RANK(AQ17,AQ$11:AQ$333)+COUNTIF(AQ$11:AQ17,AQ17)-1)))</f>
        <v>2</v>
      </c>
      <c r="AS17" s="3">
        <f t="shared" si="18"/>
        <v>7</v>
      </c>
      <c r="AT17" s="39" t="str">
        <f t="shared" si="8"/>
        <v>Rochford</v>
      </c>
      <c r="AU17" s="42">
        <f t="shared" si="9"/>
        <v>12</v>
      </c>
      <c r="AX17">
        <f>HLOOKUP($AX$9&amp;$AX$10,Data!$A$1:$ZT$1975,(MATCH($C17,Data!$A$1:$A$1975,0)),FALSE)</f>
        <v>17</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18</v>
      </c>
      <c r="G18" s="15"/>
      <c r="H18" s="41" t="str">
        <f t="shared" si="1"/>
        <v/>
      </c>
      <c r="I18" s="73" t="str">
        <f>IF(H18="","",IF($I$8="A",(RANK(H18,H$11:H$333,1)+COUNTIF(H$11:H18,H18)-1),(RANK(H18,H$11:H$333)+COUNTIF(H$11:H18,H18)-1)))</f>
        <v/>
      </c>
      <c r="J18" s="40"/>
      <c r="K18" s="35">
        <f t="shared" si="10"/>
        <v>8</v>
      </c>
      <c r="L18" t="str">
        <f t="shared" si="2"/>
        <v>High Peak</v>
      </c>
      <c r="M18" s="109">
        <f t="shared" si="3"/>
        <v>9</v>
      </c>
      <c r="N18" s="104">
        <f t="shared" si="19"/>
        <v>9</v>
      </c>
      <c r="O18" s="89">
        <f t="shared" si="20"/>
        <v>9</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 xml:space="preserve">Predominantly Rural </v>
      </c>
      <c r="Y18">
        <f t="shared" si="26"/>
        <v>9</v>
      </c>
      <c r="Z18" s="39">
        <f>IF(Y18="","",IF(I$8="A",(RANK(Y18,Y$11:Y$333,1)+COUNTIF(Y$11:Y18,Y18)-1),(RANK(Y18,Y$11:Y$333)+COUNTIF(Y$11:Y18,Y18)-1)))</f>
        <v>1</v>
      </c>
      <c r="AA18" s="177" t="str">
        <f>IF(L18="","",VLOOKUP($L18,classifications!C:I,7,FALSE))</f>
        <v>Predominantly Rural</v>
      </c>
      <c r="AB18" s="173">
        <f t="shared" si="27"/>
        <v>9</v>
      </c>
      <c r="AC18" s="173">
        <f>IF(AB18="","",IF($I$8="A",(RANK(AB18,AB$11:AB$333)+COUNTIF(AB$11:AB18,AB18)-1),(RANK(AB18,AB$11:AB$333,1)+COUNTIF(AB$11:AB18,AB18)-1)))</f>
        <v>57</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Derbyshire</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Midlands</v>
      </c>
      <c r="AQ18" s="42" t="str">
        <f t="shared" si="30"/>
        <v/>
      </c>
      <c r="AR18" s="39" t="str">
        <f>IF(AQ18="","",IF(I$8="A",(RANK(AQ18,AQ$11:AQ$333,1)+COUNTIF(AQ$11:AQ18,AQ18)-1),(RANK(AQ18,AQ$11:AQ$333)+COUNTIF(AQ$11:AQ18,AQ18)-1)))</f>
        <v/>
      </c>
      <c r="AS18" s="3">
        <f t="shared" si="18"/>
        <v>8</v>
      </c>
      <c r="AT18" s="39" t="str">
        <f t="shared" si="8"/>
        <v>North Norfolk</v>
      </c>
      <c r="AU18" s="42">
        <f t="shared" si="9"/>
        <v>13</v>
      </c>
      <c r="AX18">
        <f>HLOOKUP($AX$9&amp;$AX$10,Data!$A$1:$ZT$1975,(MATCH($C18,Data!$A$1:$A$1975,0)),FALSE)</f>
        <v>18</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21</v>
      </c>
      <c r="G19" s="15"/>
      <c r="H19" s="41" t="str">
        <f t="shared" si="1"/>
        <v/>
      </c>
      <c r="I19" s="73" t="str">
        <f>IF(H19="","",IF($I$8="A",(RANK(H19,H$11:H$333,1)+COUNTIF(H$11:H19,H19)-1),(RANK(H19,H$11:H$333)+COUNTIF(H$11:H19,H19)-1)))</f>
        <v/>
      </c>
      <c r="J19" s="40"/>
      <c r="K19" s="35">
        <f t="shared" si="10"/>
        <v>9</v>
      </c>
      <c r="L19" t="str">
        <f t="shared" si="2"/>
        <v>Rushcliffe</v>
      </c>
      <c r="M19" s="109">
        <f t="shared" si="3"/>
        <v>9</v>
      </c>
      <c r="N19" s="104">
        <f t="shared" si="19"/>
        <v>9</v>
      </c>
      <c r="O19" s="89">
        <f t="shared" si="20"/>
        <v>9</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 xml:space="preserve">Predominantly Rural </v>
      </c>
      <c r="Y19">
        <f t="shared" si="26"/>
        <v>9</v>
      </c>
      <c r="Z19" s="39">
        <f>IF(Y19="","",IF(I$8="A",(RANK(Y19,Y$11:Y$333,1)+COUNTIF(Y$11:Y19,Y19)-1),(RANK(Y19,Y$11:Y$333)+COUNTIF(Y$11:Y19,Y19)-1)))</f>
        <v>2</v>
      </c>
      <c r="AA19" s="177" t="str">
        <f>IF(L19="","",VLOOKUP($L19,classifications!C:I,7,FALSE))</f>
        <v>Predominantly Rural</v>
      </c>
      <c r="AB19" s="173">
        <f t="shared" si="27"/>
        <v>9</v>
      </c>
      <c r="AC19" s="173">
        <f>IF(AB19="","",IF($I$8="A",(RANK(AB19,AB$11:AB$333)+COUNTIF(AB$11:AB19,AB19)-1),(RANK(AB19,AB$11:AB$333,1)+COUNTIF(AB$11:AB19,AB19)-1)))</f>
        <v>58</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Nottinghamshire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East Midlands</v>
      </c>
      <c r="AQ19" s="42" t="str">
        <f t="shared" si="30"/>
        <v/>
      </c>
      <c r="AR19" s="39" t="str">
        <f>IF(AQ19="","",IF(I$8="A",(RANK(AQ19,AQ$11:AQ$333,1)+COUNTIF(AQ$11:AQ19,AQ19)-1),(RANK(AQ19,AQ$11:AQ$333)+COUNTIF(AQ$11:AQ19,AQ19)-1)))</f>
        <v/>
      </c>
      <c r="AS19" s="3">
        <f t="shared" si="18"/>
        <v>9</v>
      </c>
      <c r="AT19" s="39" t="str">
        <f t="shared" si="8"/>
        <v>Colchester</v>
      </c>
      <c r="AU19" s="42">
        <f t="shared" si="9"/>
        <v>14</v>
      </c>
      <c r="AX19">
        <f>HLOOKUP($AX$9&amp;$AX$10,Data!$A$1:$ZT$1975,(MATCH($C19,Data!$A$1:$A$1975,0)),FALSE)</f>
        <v>21</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17</v>
      </c>
      <c r="G20" s="15"/>
      <c r="H20" s="41" t="str">
        <f t="shared" si="1"/>
        <v/>
      </c>
      <c r="I20" s="73" t="str">
        <f>IF(H20="","",IF($I$8="A",(RANK(H20,H$11:H$333,1)+COUNTIF(H$11:H20,H20)-1),(RANK(H20,H$11:H$333)+COUNTIF(H$11:H20,H20)-1)))</f>
        <v/>
      </c>
      <c r="J20" s="40"/>
      <c r="K20" s="35">
        <f t="shared" si="10"/>
        <v>10</v>
      </c>
      <c r="L20" t="str">
        <f t="shared" si="2"/>
        <v>Welwyn Hatfield</v>
      </c>
      <c r="M20" s="109">
        <f t="shared" si="3"/>
        <v>9</v>
      </c>
      <c r="N20" s="104">
        <f t="shared" si="19"/>
        <v>9</v>
      </c>
      <c r="O20" s="89">
        <f t="shared" si="20"/>
        <v>9</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Hertfordshire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of England</v>
      </c>
      <c r="AQ20" s="42">
        <f t="shared" si="30"/>
        <v>9</v>
      </c>
      <c r="AR20" s="39">
        <f>IF(AQ20="","",IF(I$8="A",(RANK(AQ20,AQ$11:AQ$333,1)+COUNTIF(AQ$11:AQ20,AQ20)-1),(RANK(AQ20,AQ$11:AQ$333)+COUNTIF(AQ$11:AQ20,AQ20)-1)))</f>
        <v>3</v>
      </c>
      <c r="AS20" s="3">
        <f t="shared" si="18"/>
        <v>10</v>
      </c>
      <c r="AT20" s="39" t="str">
        <f t="shared" si="8"/>
        <v>Great Yarmouth</v>
      </c>
      <c r="AU20" s="42">
        <f t="shared" si="9"/>
        <v>14</v>
      </c>
      <c r="AX20">
        <f>HLOOKUP($AX$9&amp;$AX$10,Data!$A$1:$ZT$1975,(MATCH($C20,Data!$A$1:$A$1975,0)),FALSE)</f>
        <v>17</v>
      </c>
    </row>
    <row r="21" spans="1:50">
      <c r="A21" s="55" t="str">
        <f>$D$1&amp;11</f>
        <v>SD11</v>
      </c>
      <c r="B21" s="56" t="str">
        <f>IF(ISERROR(VLOOKUP(A21,classifications!A:C,3,FALSE)),0,VLOOKUP(A21,classifications!A:C,3,FALSE))</f>
        <v>Forest of Dean</v>
      </c>
      <c r="C21" t="s">
        <v>897</v>
      </c>
      <c r="D21" t="str">
        <f>VLOOKUP($C21,classifications!$C:$J,4,FALSE)</f>
        <v>UA</v>
      </c>
      <c r="E21" t="str">
        <f>VLOOKUP(C21,classifications!C:K,9,FALSE)</f>
        <v>Sparse</v>
      </c>
      <c r="F21">
        <f t="shared" si="0"/>
        <v>21.911894273127754</v>
      </c>
      <c r="G21" s="15"/>
      <c r="H21" s="41" t="str">
        <f t="shared" si="1"/>
        <v/>
      </c>
      <c r="I21" s="73" t="str">
        <f>IF(H21="","",IF($I$8="A",(RANK(H21,H$11:H$333,1)+COUNTIF(H$11:H21,H21)-1),(RANK(H21,H$11:H$333)+COUNTIF(H$11:H21,H21)-1)))</f>
        <v/>
      </c>
      <c r="J21" s="40"/>
      <c r="K21" s="35">
        <f t="shared" si="10"/>
        <v>11</v>
      </c>
      <c r="L21" t="str">
        <f t="shared" si="2"/>
        <v>Fareham</v>
      </c>
      <c r="M21" s="109">
        <f t="shared" si="3"/>
        <v>10</v>
      </c>
      <c r="N21" s="104">
        <f t="shared" si="19"/>
        <v>10</v>
      </c>
      <c r="O21" s="89">
        <f t="shared" si="20"/>
        <v>10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Hampshire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East</v>
      </c>
      <c r="AQ21" s="42" t="str">
        <f t="shared" si="30"/>
        <v/>
      </c>
      <c r="AR21" s="39" t="str">
        <f>IF(AQ21="","",IF(I$8="A",(RANK(AQ21,AQ$11:AQ$333,1)+COUNTIF(AQ$11:AQ21,AQ21)-1),(RANK(AQ21,AQ$11:AQ$333)+COUNTIF(AQ$11:AQ21,AQ21)-1)))</f>
        <v/>
      </c>
      <c r="AS21" s="3">
        <f t="shared" si="18"/>
        <v>11</v>
      </c>
      <c r="AT21" s="39" t="str">
        <f t="shared" si="8"/>
        <v>South Cambridgeshire</v>
      </c>
      <c r="AU21" s="42">
        <f t="shared" si="9"/>
        <v>14</v>
      </c>
      <c r="AX21">
        <f>HLOOKUP($AX$9&amp;$AX$10,Data!$A$1:$ZT$1975,(MATCH($C21,Data!$A$1:$A$1975,0)),FALSE)</f>
        <v>21.911894273127754</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15</v>
      </c>
      <c r="G22" s="15"/>
      <c r="H22" s="41">
        <f t="shared" si="1"/>
        <v>15</v>
      </c>
      <c r="I22" s="73">
        <f>IF(H22="","",IF($I$8="A",(RANK(H22,H$11:H$333,1)+COUNTIF(H$11:H22,H22)-1),(RANK(H22,H$11:H$333)+COUNTIF(H$11:H22,H22)-1)))</f>
        <v>39</v>
      </c>
      <c r="J22" s="40"/>
      <c r="K22" s="35">
        <f t="shared" si="10"/>
        <v>12</v>
      </c>
      <c r="L22" t="str">
        <f t="shared" si="2"/>
        <v>Cambridge</v>
      </c>
      <c r="M22" s="109">
        <f t="shared" si="3"/>
        <v>11</v>
      </c>
      <c r="N22" s="104">
        <f t="shared" si="19"/>
        <v>11</v>
      </c>
      <c r="O22" s="89">
        <f t="shared" si="20"/>
        <v>11</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Cambridgeshire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East of England</v>
      </c>
      <c r="AQ22" s="42">
        <f t="shared" si="30"/>
        <v>11</v>
      </c>
      <c r="AR22" s="39">
        <f>IF(AQ22="","",IF(I$8="A",(RANK(AQ22,AQ$11:AQ$333,1)+COUNTIF(AQ$11:AQ22,AQ22)-1),(RANK(AQ22,AQ$11:AQ$333)+COUNTIF(AQ$11:AQ22,AQ22)-1)))</f>
        <v>4</v>
      </c>
      <c r="AS22" s="3">
        <f t="shared" si="18"/>
        <v>12</v>
      </c>
      <c r="AT22" s="39" t="str">
        <f t="shared" si="8"/>
        <v>Basildon</v>
      </c>
      <c r="AU22" s="42">
        <f t="shared" si="9"/>
        <v>15</v>
      </c>
      <c r="AX22">
        <f>HLOOKUP($AX$9&amp;$AX$10,Data!$A$1:$ZT$1975,(MATCH($C22,Data!$A$1:$A$1975,0)),FALSE)</f>
        <v>15</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14</v>
      </c>
      <c r="G23" s="15"/>
      <c r="H23" s="41">
        <f t="shared" si="1"/>
        <v>14</v>
      </c>
      <c r="I23" s="73">
        <f>IF(H23="","",IF($I$8="A",(RANK(H23,H$11:H$333,1)+COUNTIF(H$11:H23,H23)-1),(RANK(H23,H$11:H$333)+COUNTIF(H$11:H23,H23)-1)))</f>
        <v>31</v>
      </c>
      <c r="J23" s="40"/>
      <c r="K23" s="35">
        <f t="shared" si="10"/>
        <v>13</v>
      </c>
      <c r="L23" t="str">
        <f t="shared" si="2"/>
        <v>Derbyshire Dales</v>
      </c>
      <c r="M23" s="109">
        <f t="shared" si="3"/>
        <v>11</v>
      </c>
      <c r="N23" s="104">
        <f t="shared" si="19"/>
        <v>11</v>
      </c>
      <c r="O23" s="89">
        <f t="shared" si="20"/>
        <v>11</v>
      </c>
      <c r="P23" s="89" t="str">
        <f t="shared" si="21"/>
        <v/>
      </c>
      <c r="Q23" s="89" t="str">
        <f t="shared" si="22"/>
        <v/>
      </c>
      <c r="R23" s="85" t="str">
        <f t="shared" si="23"/>
        <v/>
      </c>
      <c r="S23" s="41" t="str">
        <f t="shared" si="24"/>
        <v/>
      </c>
      <c r="T23" s="166" t="str">
        <f>IF(L23="","",VLOOKUP(L23,classifications!C:K,9,FALSE))</f>
        <v>Sparse</v>
      </c>
      <c r="U23" s="167">
        <f t="shared" si="25"/>
        <v>11</v>
      </c>
      <c r="V23" s="173">
        <f>IF(U23="","",IF($I$8="A",(RANK(U23,U$11:U$333)+COUNTIF(U$11:U23,U23)-1),(RANK(U23,U$11:U$333,1)+COUNTIF(U$11:U23,U23)-1)))</f>
        <v>43</v>
      </c>
      <c r="W23" s="174"/>
      <c r="X23" s="5" t="str">
        <f>IF(L23="","",VLOOKUP($L23,classifications!$C:$J,6,FALSE))</f>
        <v xml:space="preserve">Predominantly Rural </v>
      </c>
      <c r="Y23">
        <f t="shared" si="26"/>
        <v>11</v>
      </c>
      <c r="Z23" s="39">
        <f>IF(Y23="","",IF(I$8="A",(RANK(Y23,Y$11:Y$333,1)+COUNTIF(Y$11:Y23,Y23)-1),(RANK(Y23,Y$11:Y$333)+COUNTIF(Y$11:Y23,Y23)-1)))</f>
        <v>3</v>
      </c>
      <c r="AA23" s="177" t="str">
        <f>IF(L23="","",VLOOKUP($L23,classifications!C:I,7,FALSE))</f>
        <v>Predominantly Rural</v>
      </c>
      <c r="AB23" s="173">
        <f t="shared" si="27"/>
        <v>11</v>
      </c>
      <c r="AC23" s="173">
        <f>IF(AB23="","",IF($I$8="A",(RANK(AB23,AB$11:AB$333)+COUNTIF(AB$11:AB23,AB23)-1),(RANK(AB23,AB$11:AB$333,1)+COUNTIF(AB$11:AB23,AB23)-1)))</f>
        <v>54</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Derbyshire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Midlands</v>
      </c>
      <c r="AQ23" s="42" t="str">
        <f t="shared" si="30"/>
        <v/>
      </c>
      <c r="AR23" s="39" t="str">
        <f>IF(AQ23="","",IF(I$8="A",(RANK(AQ23,AQ$11:AQ$333,1)+COUNTIF(AQ$11:AQ23,AQ23)-1),(RANK(AQ23,AQ$11:AQ$333)+COUNTIF(AQ$11:AQ23,AQ23)-1)))</f>
        <v/>
      </c>
      <c r="AS23" s="3">
        <f t="shared" si="18"/>
        <v>13</v>
      </c>
      <c r="AT23" s="39" t="str">
        <f t="shared" si="8"/>
        <v>King's Lynn &amp; West Norfolk</v>
      </c>
      <c r="AU23" s="42">
        <f t="shared" si="9"/>
        <v>15</v>
      </c>
      <c r="AX23">
        <f>HLOOKUP($AX$9&amp;$AX$10,Data!$A$1:$ZT$1975,(MATCH($C23,Data!$A$1:$A$1975,0)),FALSE)</f>
        <v>14</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31</v>
      </c>
      <c r="G24" s="15"/>
      <c r="H24" s="41">
        <f t="shared" si="1"/>
        <v>31</v>
      </c>
      <c r="I24" s="73">
        <f>IF(H24="","",IF($I$8="A",(RANK(H24,H$11:H$333,1)+COUNTIF(H$11:H24,H24)-1),(RANK(H24,H$11:H$333)+COUNTIF(H$11:H24,H24)-1)))</f>
        <v>152</v>
      </c>
      <c r="J24" s="40"/>
      <c r="K24" s="35">
        <f t="shared" si="10"/>
        <v>14</v>
      </c>
      <c r="L24" t="str">
        <f t="shared" si="2"/>
        <v>Eastleigh</v>
      </c>
      <c r="M24" s="109">
        <f t="shared" si="3"/>
        <v>11</v>
      </c>
      <c r="N24" s="104">
        <f t="shared" si="19"/>
        <v>11</v>
      </c>
      <c r="O24" s="89">
        <f t="shared" si="20"/>
        <v>11</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Hampshire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Tendring</v>
      </c>
      <c r="AU24" s="42">
        <f t="shared" si="9"/>
        <v>15</v>
      </c>
      <c r="AX24">
        <f>HLOOKUP($AX$9&amp;$AX$10,Data!$A$1:$ZT$1975,(MATCH($C24,Data!$A$1:$A$1975,0)),FALSE)</f>
        <v>31</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20</v>
      </c>
      <c r="G25" s="15"/>
      <c r="H25" s="41" t="str">
        <f t="shared" si="1"/>
        <v/>
      </c>
      <c r="I25" s="73" t="str">
        <f>IF(H25="","",IF($I$8="A",(RANK(H25,H$11:H$333,1)+COUNTIF(H$11:H25,H25)-1),(RANK(H25,H$11:H$333)+COUNTIF(H$11:H25,H25)-1)))</f>
        <v/>
      </c>
      <c r="J25" s="40"/>
      <c r="K25" s="35">
        <f t="shared" si="10"/>
        <v>15</v>
      </c>
      <c r="L25" t="str">
        <f t="shared" si="2"/>
        <v>New Forest</v>
      </c>
      <c r="M25" s="109">
        <f t="shared" si="3"/>
        <v>11</v>
      </c>
      <c r="N25" s="104">
        <f t="shared" si="19"/>
        <v>11</v>
      </c>
      <c r="O25" s="89">
        <f t="shared" si="20"/>
        <v>11</v>
      </c>
      <c r="P25" s="89" t="str">
        <f t="shared" si="21"/>
        <v/>
      </c>
      <c r="Q25" s="89" t="str">
        <f t="shared" si="22"/>
        <v/>
      </c>
      <c r="R25" s="85" t="str">
        <f t="shared" si="23"/>
        <v/>
      </c>
      <c r="S25" s="41" t="str">
        <f t="shared" si="24"/>
        <v/>
      </c>
      <c r="T25" s="166" t="str">
        <f>IF(L25="","",VLOOKUP(L25,classifications!C:K,9,FALSE))</f>
        <v>Sparse</v>
      </c>
      <c r="U25" s="167">
        <f t="shared" si="25"/>
        <v>11</v>
      </c>
      <c r="V25" s="173">
        <f>IF(U25="","",IF($I$8="A",(RANK(U25,U$11:U$333)+COUNTIF(U$11:U25,U25)-1),(RANK(U25,U$11:U$333,1)+COUNTIF(U$11:U25,U25)-1)))</f>
        <v>44</v>
      </c>
      <c r="W25" s="174"/>
      <c r="X25" s="5" t="str">
        <f>IF(L25="","",VLOOKUP($L25,classifications!$C:$J,6,FALSE))</f>
        <v>Urban with Significant Rural</v>
      </c>
      <c r="Y25" t="str">
        <f t="shared" si="26"/>
        <v/>
      </c>
      <c r="Z25" s="39" t="str">
        <f>IF(Y25="","",IF(I$8="A",(RANK(Y25,Y$11:Y$333,1)+COUNTIF(Y$11:Y25,Y25)-1),(RANK(Y25,Y$11:Y$333)+COUNTIF(Y$11:Y25,Y25)-1)))</f>
        <v/>
      </c>
      <c r="AA25" s="177" t="str">
        <f>IF(L25="","",VLOOKUP($L25,classifications!C:I,7,FALSE))</f>
        <v>Urban with Significant Rural</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Hampshire</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South East</v>
      </c>
      <c r="AQ25" s="42" t="str">
        <f t="shared" si="30"/>
        <v/>
      </c>
      <c r="AR25" s="39" t="str">
        <f>IF(AQ25="","",IF(I$8="A",(RANK(AQ25,AQ$11:AQ$333,1)+COUNTIF(AQ$11:AQ25,AQ25)-1),(RANK(AQ25,AQ$11:AQ$333)+COUNTIF(AQ$11:AQ25,AQ25)-1)))</f>
        <v/>
      </c>
      <c r="AS25" s="3">
        <f t="shared" si="18"/>
        <v>15</v>
      </c>
      <c r="AT25" s="39" t="str">
        <f t="shared" si="8"/>
        <v>Babergh</v>
      </c>
      <c r="AU25" s="42">
        <f t="shared" si="9"/>
        <v>17</v>
      </c>
      <c r="AX25">
        <f>HLOOKUP($AX$9&amp;$AX$10,Data!$A$1:$ZT$1975,(MATCH($C25,Data!$A$1:$A$1975,0)),FALSE)</f>
        <v>20</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16</v>
      </c>
      <c r="G26" s="15"/>
      <c r="H26" s="41" t="str">
        <f t="shared" si="1"/>
        <v/>
      </c>
      <c r="I26" s="73" t="str">
        <f>IF(H26="","",IF($I$8="A",(RANK(H26,H$11:H$333,1)+COUNTIF(H$11:H26,H26)-1),(RANK(H26,H$11:H$333)+COUNTIF(H$11:H26,H26)-1)))</f>
        <v/>
      </c>
      <c r="J26" s="40"/>
      <c r="K26" s="35">
        <f t="shared" si="10"/>
        <v>16</v>
      </c>
      <c r="L26" t="str">
        <f t="shared" si="2"/>
        <v>South Norfolk</v>
      </c>
      <c r="M26" s="109">
        <f t="shared" si="3"/>
        <v>11</v>
      </c>
      <c r="N26" s="104">
        <f t="shared" si="19"/>
        <v>11</v>
      </c>
      <c r="O26" s="89">
        <f t="shared" si="20"/>
        <v>11</v>
      </c>
      <c r="P26" s="89" t="str">
        <f t="shared" si="21"/>
        <v/>
      </c>
      <c r="Q26" s="89" t="str">
        <f t="shared" si="22"/>
        <v/>
      </c>
      <c r="R26" s="85" t="str">
        <f t="shared" si="23"/>
        <v/>
      </c>
      <c r="S26" s="41" t="str">
        <f t="shared" si="24"/>
        <v/>
      </c>
      <c r="T26" s="166" t="str">
        <f>IF(L26="","",VLOOKUP(L26,classifications!C:K,9,FALSE))</f>
        <v>Sparse</v>
      </c>
      <c r="U26" s="167">
        <f t="shared" si="25"/>
        <v>11</v>
      </c>
      <c r="V26" s="173">
        <f>IF(U26="","",IF($I$8="A",(RANK(U26,U$11:U$333)+COUNTIF(U$11:U26,U26)-1),(RANK(U26,U$11:U$333,1)+COUNTIF(U$11:U26,U26)-1)))</f>
        <v>45</v>
      </c>
      <c r="W26" s="174"/>
      <c r="X26" s="5" t="str">
        <f>IF(L26="","",VLOOKUP($L26,classifications!$C:$J,6,FALSE))</f>
        <v xml:space="preserve">Predominantly Rural </v>
      </c>
      <c r="Y26">
        <f t="shared" si="26"/>
        <v>11</v>
      </c>
      <c r="Z26" s="39">
        <f>IF(Y26="","",IF(I$8="A",(RANK(Y26,Y$11:Y$333,1)+COUNTIF(Y$11:Y26,Y26)-1),(RANK(Y26,Y$11:Y$333)+COUNTIF(Y$11:Y26,Y26)-1)))</f>
        <v>4</v>
      </c>
      <c r="AA26" s="177" t="str">
        <f>IF(L26="","",VLOOKUP($L26,classifications!C:I,7,FALSE))</f>
        <v>Predominantly Rural</v>
      </c>
      <c r="AB26" s="173">
        <f t="shared" si="27"/>
        <v>11</v>
      </c>
      <c r="AC26" s="173">
        <f>IF(AB26="","",IF($I$8="A",(RANK(AB26,AB$11:AB$333)+COUNTIF(AB$11:AB26,AB26)-1),(RANK(AB26,AB$11:AB$333,1)+COUNTIF(AB$11:AB26,AB26)-1)))</f>
        <v>55</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Norfolk</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of England</v>
      </c>
      <c r="AQ26" s="42">
        <f t="shared" si="30"/>
        <v>11</v>
      </c>
      <c r="AR26" s="39">
        <f>IF(AQ26="","",IF(I$8="A",(RANK(AQ26,AQ$11:AQ$333,1)+COUNTIF(AQ$11:AQ26,AQ26)-1),(RANK(AQ26,AQ$11:AQ$333)+COUNTIF(AQ$11:AQ26,AQ26)-1)))</f>
        <v>5</v>
      </c>
      <c r="AS26" s="3">
        <f t="shared" si="18"/>
        <v>16</v>
      </c>
      <c r="AT26" s="39" t="str">
        <f t="shared" si="8"/>
        <v>Brentwood</v>
      </c>
      <c r="AU26" s="42">
        <f t="shared" si="9"/>
        <v>17</v>
      </c>
      <c r="AX26">
        <f>HLOOKUP($AX$9&amp;$AX$10,Data!$A$1:$ZT$1975,(MATCH($C26,Data!$A$1:$A$1975,0)),FALSE)</f>
        <v>16</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13</v>
      </c>
      <c r="G27" s="15"/>
      <c r="H27" s="41" t="str">
        <f t="shared" si="1"/>
        <v/>
      </c>
      <c r="I27" s="73" t="str">
        <f>IF(H27="","",IF($I$8="A",(RANK(H27,H$11:H$333,1)+COUNTIF(H$11:H27,H27)-1),(RANK(H27,H$11:H$333)+COUNTIF(H$11:H27,H27)-1)))</f>
        <v/>
      </c>
      <c r="J27" s="40"/>
      <c r="K27" s="35">
        <f t="shared" si="10"/>
        <v>17</v>
      </c>
      <c r="L27" t="str">
        <f t="shared" si="2"/>
        <v>St Albans</v>
      </c>
      <c r="M27" s="109">
        <f t="shared" si="3"/>
        <v>11</v>
      </c>
      <c r="N27" s="104">
        <f t="shared" si="19"/>
        <v>11</v>
      </c>
      <c r="O27" s="89">
        <f t="shared" si="20"/>
        <v>11</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Hertfordshire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East of England</v>
      </c>
      <c r="AQ27" s="42">
        <f t="shared" si="30"/>
        <v>11</v>
      </c>
      <c r="AR27" s="39">
        <f>IF(AQ27="","",IF(I$8="A",(RANK(AQ27,AQ$11:AQ$333,1)+COUNTIF(AQ$11:AQ27,AQ27)-1),(RANK(AQ27,AQ$11:AQ$333)+COUNTIF(AQ$11:AQ27,AQ27)-1)))</f>
        <v>6</v>
      </c>
      <c r="AS27" s="3">
        <f t="shared" si="18"/>
        <v>17</v>
      </c>
      <c r="AT27" s="39" t="str">
        <f t="shared" si="8"/>
        <v>Epping Forest</v>
      </c>
      <c r="AU27" s="42">
        <f t="shared" si="9"/>
        <v>17</v>
      </c>
      <c r="AX27">
        <f>HLOOKUP($AX$9&amp;$AX$10,Data!$A$1:$ZT$1975,(MATCH($C27,Data!$A$1:$A$1975,0)),FALSE)</f>
        <v>13</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16</v>
      </c>
      <c r="G28" s="15"/>
      <c r="H28" s="41" t="str">
        <f t="shared" si="1"/>
        <v/>
      </c>
      <c r="I28" s="73" t="str">
        <f>IF(H28="","",IF($I$8="A",(RANK(H28,H$11:H$333,1)+COUNTIF(H$11:H28,H28)-1),(RANK(H28,H$11:H$333)+COUNTIF(H$11:H28,H28)-1)))</f>
        <v/>
      </c>
      <c r="J28" s="40"/>
      <c r="K28" s="35">
        <f t="shared" si="10"/>
        <v>18</v>
      </c>
      <c r="L28" t="str">
        <f t="shared" si="2"/>
        <v>Tewkesbury</v>
      </c>
      <c r="M28" s="109">
        <f t="shared" si="3"/>
        <v>11</v>
      </c>
      <c r="N28" s="104">
        <f t="shared" si="19"/>
        <v>11</v>
      </c>
      <c r="O28" s="89">
        <f t="shared" si="20"/>
        <v>11</v>
      </c>
      <c r="P28" s="89" t="str">
        <f t="shared" si="21"/>
        <v/>
      </c>
      <c r="Q28" s="89" t="str">
        <f t="shared" si="22"/>
        <v/>
      </c>
      <c r="R28" s="85" t="str">
        <f t="shared" si="23"/>
        <v/>
      </c>
      <c r="S28" s="41" t="str">
        <f t="shared" si="24"/>
        <v/>
      </c>
      <c r="T28" s="166" t="str">
        <f>IF(L28="","",VLOOKUP(L28,classifications!C:K,9,FALSE))</f>
        <v>Sparse</v>
      </c>
      <c r="U28" s="167">
        <f t="shared" si="25"/>
        <v>11</v>
      </c>
      <c r="V28" s="173">
        <f>IF(U28="","",IF($I$8="A",(RANK(U28,U$11:U$333)+COUNTIF(U$11:U28,U28)-1),(RANK(U28,U$11:U$333,1)+COUNTIF(U$11:U28,U28)-1)))</f>
        <v>46</v>
      </c>
      <c r="W28" s="174"/>
      <c r="X28" s="5" t="str">
        <f>IF(L28="","",VLOOKUP($L28,classifications!$C:$J,6,FALSE))</f>
        <v xml:space="preserve">Predominantly Rural </v>
      </c>
      <c r="Y28">
        <f t="shared" si="26"/>
        <v>11</v>
      </c>
      <c r="Z28" s="39">
        <f>IF(Y28="","",IF(I$8="A",(RANK(Y28,Y$11:Y$333,1)+COUNTIF(Y$11:Y28,Y28)-1),(RANK(Y28,Y$11:Y$333)+COUNTIF(Y$11:Y28,Y28)-1)))</f>
        <v>5</v>
      </c>
      <c r="AA28" s="177" t="str">
        <f>IF(L28="","",VLOOKUP($L28,classifications!C:I,7,FALSE))</f>
        <v>Predominantly Rural</v>
      </c>
      <c r="AB28" s="173">
        <f t="shared" si="27"/>
        <v>11</v>
      </c>
      <c r="AC28" s="173">
        <f>IF(AB28="","",IF($I$8="A",(RANK(AB28,AB$11:AB$333)+COUNTIF(AB$11:AB28,AB28)-1),(RANK(AB28,AB$11:AB$333,1)+COUNTIF(AB$11:AB28,AB28)-1)))</f>
        <v>56</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Gloucestershire</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South West</v>
      </c>
      <c r="AQ28" s="42" t="str">
        <f t="shared" si="30"/>
        <v/>
      </c>
      <c r="AR28" s="39" t="str">
        <f>IF(AQ28="","",IF(I$8="A",(RANK(AQ28,AQ$11:AQ$333,1)+COUNTIF(AQ$11:AQ28,AQ28)-1),(RANK(AQ28,AQ$11:AQ$333)+COUNTIF(AQ$11:AQ28,AQ28)-1)))</f>
        <v/>
      </c>
      <c r="AS28" s="3">
        <f t="shared" si="18"/>
        <v>18</v>
      </c>
      <c r="AT28" s="39" t="str">
        <f t="shared" si="8"/>
        <v>Castle Point</v>
      </c>
      <c r="AU28" s="42">
        <f t="shared" si="9"/>
        <v>18</v>
      </c>
      <c r="AX28">
        <f>HLOOKUP($AX$9&amp;$AX$10,Data!$A$1:$ZT$1975,(MATCH($C28,Data!$A$1:$A$1975,0)),FALSE)</f>
        <v>16</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25</v>
      </c>
      <c r="G29" s="15"/>
      <c r="H29" s="41">
        <f t="shared" si="1"/>
        <v>25</v>
      </c>
      <c r="I29" s="73">
        <f>IF(H29="","",IF($I$8="A",(RANK(H29,H$11:H$333,1)+COUNTIF(H$11:H29,H29)-1),(RANK(H29,H$11:H$333)+COUNTIF(H$11:H29,H29)-1)))</f>
        <v>131</v>
      </c>
      <c r="J29" s="40"/>
      <c r="K29" s="35">
        <f t="shared" si="10"/>
        <v>19</v>
      </c>
      <c r="L29" t="str">
        <f t="shared" si="2"/>
        <v>Newcastle-under-Lyme</v>
      </c>
      <c r="M29" s="109">
        <f t="shared" si="3"/>
        <v>12</v>
      </c>
      <c r="N29" s="104">
        <f t="shared" si="19"/>
        <v>12</v>
      </c>
      <c r="O29" s="89">
        <f t="shared" si="20"/>
        <v>12</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Staffordshire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West Midlands</v>
      </c>
      <c r="AQ29" s="42" t="str">
        <f t="shared" si="30"/>
        <v/>
      </c>
      <c r="AR29" s="39" t="str">
        <f>IF(AQ29="","",IF(I$8="A",(RANK(AQ29,AQ$11:AQ$333,1)+COUNTIF(AQ$11:AQ29,AQ29)-1),(RANK(AQ29,AQ$11:AQ$333)+COUNTIF(AQ$11:AQ29,AQ29)-1)))</f>
        <v/>
      </c>
      <c r="AS29" s="3">
        <f t="shared" si="18"/>
        <v>19</v>
      </c>
      <c r="AT29" s="39" t="str">
        <f t="shared" si="8"/>
        <v>Mid Suffolk</v>
      </c>
      <c r="AU29" s="42">
        <f t="shared" si="9"/>
        <v>18</v>
      </c>
      <c r="AX29">
        <f>HLOOKUP($AX$9&amp;$AX$10,Data!$A$1:$ZT$1975,(MATCH($C29,Data!$A$1:$A$1975,0)),FALSE)</f>
        <v>25</v>
      </c>
    </row>
    <row r="30" spans="1:50">
      <c r="A30" s="55" t="str">
        <f>$D$1&amp;20</f>
        <v>SD20</v>
      </c>
      <c r="B30" s="56" t="str">
        <f>IF(ISERROR(VLOOKUP(A30,classifications!A:C,3,FALSE)),0,VLOOKUP(A30,classifications!A:C,3,FALSE))</f>
        <v>New Forest</v>
      </c>
      <c r="C30" t="s">
        <v>260</v>
      </c>
      <c r="D30" t="str">
        <f>VLOOKUP($C30,classifications!$C:$J,4,FALSE)</f>
        <v>UA</v>
      </c>
      <c r="E30">
        <f>VLOOKUP(C30,classifications!C:K,9,FALSE)</f>
        <v>0</v>
      </c>
      <c r="F30">
        <f t="shared" si="0"/>
        <v>10</v>
      </c>
      <c r="G30" s="15"/>
      <c r="H30" s="41" t="str">
        <f t="shared" si="1"/>
        <v/>
      </c>
      <c r="I30" s="73" t="str">
        <f>IF(H30="","",IF($I$8="A",(RANK(H30,H$11:H$333,1)+COUNTIF(H$11:H30,H30)-1),(RANK(H30,H$11:H$333)+COUNTIF(H$11:H30,H30)-1)))</f>
        <v/>
      </c>
      <c r="J30" s="40"/>
      <c r="K30" s="35">
        <f t="shared" si="10"/>
        <v>20</v>
      </c>
      <c r="L30" t="str">
        <f t="shared" si="2"/>
        <v>Rochford</v>
      </c>
      <c r="M30" s="109">
        <f t="shared" si="3"/>
        <v>12</v>
      </c>
      <c r="N30" s="104">
        <f t="shared" si="19"/>
        <v>12</v>
      </c>
      <c r="O30" s="89">
        <f t="shared" si="20"/>
        <v>12</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Essex</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East of England</v>
      </c>
      <c r="AQ30" s="42">
        <f t="shared" si="30"/>
        <v>12</v>
      </c>
      <c r="AR30" s="39">
        <f>IF(AQ30="","",IF(I$8="A",(RANK(AQ30,AQ$11:AQ$333,1)+COUNTIF(AQ$11:AQ30,AQ30)-1),(RANK(AQ30,AQ$11:AQ$333)+COUNTIF(AQ$11:AQ30,AQ30)-1)))</f>
        <v>7</v>
      </c>
      <c r="AS30" s="3">
        <f t="shared" si="18"/>
        <v>20</v>
      </c>
      <c r="AT30" s="39" t="str">
        <f t="shared" si="8"/>
        <v>Uttlesford</v>
      </c>
      <c r="AU30" s="42">
        <f t="shared" si="9"/>
        <v>18</v>
      </c>
      <c r="AX30">
        <f>HLOOKUP($AX$9&amp;$AX$10,Data!$A$1:$ZT$1975,(MATCH($C30,Data!$A$1:$A$1975,0)),FALSE)</f>
        <v>10</v>
      </c>
    </row>
    <row r="31" spans="1:50">
      <c r="A31" s="55" t="str">
        <f>$D$1&amp;21</f>
        <v>SD21</v>
      </c>
      <c r="B31" s="56" t="str">
        <f>IF(ISERROR(VLOOKUP(A31,classifications!A:C,3,FALSE)),0,VLOOKUP(A31,classifications!A:C,3,FALSE))</f>
        <v>North Devon</v>
      </c>
      <c r="C31" t="s">
        <v>261</v>
      </c>
      <c r="D31" t="str">
        <f>VLOOKUP($C31,classifications!$C:$J,4,FALSE)</f>
        <v>UA</v>
      </c>
      <c r="E31">
        <f>VLOOKUP(C31,classifications!C:K,9,FALSE)</f>
        <v>0</v>
      </c>
      <c r="F31">
        <f t="shared" si="0"/>
        <v>23</v>
      </c>
      <c r="G31" s="15"/>
      <c r="H31" s="41" t="str">
        <f t="shared" si="1"/>
        <v/>
      </c>
      <c r="I31" s="73" t="str">
        <f>IF(H31="","",IF($I$8="A",(RANK(H31,H$11:H$333,1)+COUNTIF(H$11:H31,H31)-1),(RANK(H31,H$11:H$333)+COUNTIF(H$11:H31,H31)-1)))</f>
        <v/>
      </c>
      <c r="J31" s="40"/>
      <c r="K31" s="35">
        <f t="shared" si="10"/>
        <v>21</v>
      </c>
      <c r="L31" t="str">
        <f t="shared" si="2"/>
        <v>South Kesteven</v>
      </c>
      <c r="M31" s="109">
        <f t="shared" si="3"/>
        <v>12</v>
      </c>
      <c r="N31" s="104">
        <f t="shared" si="19"/>
        <v>12</v>
      </c>
      <c r="O31" s="89">
        <f t="shared" si="20"/>
        <v>12</v>
      </c>
      <c r="P31" s="89" t="str">
        <f t="shared" si="21"/>
        <v/>
      </c>
      <c r="Q31" s="89" t="str">
        <f t="shared" si="22"/>
        <v/>
      </c>
      <c r="R31" s="85" t="str">
        <f t="shared" si="23"/>
        <v/>
      </c>
      <c r="S31" s="41" t="str">
        <f t="shared" si="24"/>
        <v/>
      </c>
      <c r="T31" s="166" t="str">
        <f>IF(L31="","",VLOOKUP(L31,classifications!C:K,9,FALSE))</f>
        <v>Sparse</v>
      </c>
      <c r="U31" s="167">
        <f t="shared" si="25"/>
        <v>12</v>
      </c>
      <c r="V31" s="173">
        <f>IF(U31="","",IF($I$8="A",(RANK(U31,U$11:U$333)+COUNTIF(U$11:U31,U31)-1),(RANK(U31,U$11:U$333,1)+COUNTIF(U$11:U31,U31)-1)))</f>
        <v>42</v>
      </c>
      <c r="W31" s="174"/>
      <c r="X31" s="5" t="str">
        <f>IF(L31="","",VLOOKUP($L31,classifications!$C:$J,6,FALSE))</f>
        <v xml:space="preserve">Predominantly Rural </v>
      </c>
      <c r="Y31">
        <f t="shared" si="26"/>
        <v>12</v>
      </c>
      <c r="Z31" s="39">
        <f>IF(Y31="","",IF(I$8="A",(RANK(Y31,Y$11:Y$333,1)+COUNTIF(Y$11:Y31,Y31)-1),(RANK(Y31,Y$11:Y$333)+COUNTIF(Y$11:Y31,Y31)-1)))</f>
        <v>6</v>
      </c>
      <c r="AA31" s="177" t="str">
        <f>IF(L31="","",VLOOKUP($L31,classifications!C:I,7,FALSE))</f>
        <v>Predominantly Rural</v>
      </c>
      <c r="AB31" s="173">
        <f t="shared" si="27"/>
        <v>12</v>
      </c>
      <c r="AC31" s="173">
        <f>IF(AB31="","",IF($I$8="A",(RANK(AB31,AB$11:AB$333)+COUNTIF(AB$11:AB31,AB31)-1),(RANK(AB31,AB$11:AB$333,1)+COUNTIF(AB$11:AB31,AB31)-1)))</f>
        <v>53</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Lincolnshire</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East Midlands</v>
      </c>
      <c r="AQ31" s="42" t="str">
        <f t="shared" si="30"/>
        <v/>
      </c>
      <c r="AR31" s="39" t="str">
        <f>IF(AQ31="","",IF(I$8="A",(RANK(AQ31,AQ$11:AQ$333,1)+COUNTIF(AQ$11:AQ31,AQ31)-1),(RANK(AQ31,AQ$11:AQ$333)+COUNTIF(AQ$11:AQ31,AQ31)-1)))</f>
        <v/>
      </c>
      <c r="AS31" s="3">
        <f t="shared" si="18"/>
        <v>21</v>
      </c>
      <c r="AT31" s="39" t="str">
        <f t="shared" si="8"/>
        <v>Broxbourne</v>
      </c>
      <c r="AU31" s="42">
        <f t="shared" si="9"/>
        <v>19</v>
      </c>
      <c r="AX31">
        <f>HLOOKUP($AX$9&amp;$AX$10,Data!$A$1:$ZT$1975,(MATCH($C31,Data!$A$1:$A$1975,0)),FALSE)</f>
        <v>23</v>
      </c>
    </row>
    <row r="32" spans="1:50">
      <c r="A32" s="55" t="str">
        <f>$D$1&amp;22</f>
        <v>SD22</v>
      </c>
      <c r="B32" s="56" t="str">
        <f>IF(ISERROR(VLOOKUP(A32,classifications!A:C,3,FALSE)),0,VLOOKUP(A32,classifications!A:C,3,FALSE))</f>
        <v>North Kesteven</v>
      </c>
      <c r="C32" t="s">
        <v>17</v>
      </c>
      <c r="D32" t="str">
        <f>VLOOKUP($C32,classifications!$C:$J,4,FALSE)</f>
        <v>SD</v>
      </c>
      <c r="E32">
        <f>VLOOKUP(C32,classifications!C:K,9,FALSE)</f>
        <v>0</v>
      </c>
      <c r="F32">
        <f t="shared" si="0"/>
        <v>20</v>
      </c>
      <c r="G32" s="15"/>
      <c r="H32" s="41">
        <f t="shared" si="1"/>
        <v>20</v>
      </c>
      <c r="I32" s="73">
        <f>IF(H32="","",IF($I$8="A",(RANK(H32,H$11:H$333,1)+COUNTIF(H$11:H32,H32)-1),(RANK(H32,H$11:H$333)+COUNTIF(H$11:H32,H32)-1)))</f>
        <v>85</v>
      </c>
      <c r="J32" s="40"/>
      <c r="K32" s="35">
        <f t="shared" si="10"/>
        <v>22</v>
      </c>
      <c r="L32" t="str">
        <f t="shared" si="2"/>
        <v>Exeter</v>
      </c>
      <c r="M32" s="109">
        <f t="shared" si="3"/>
        <v>13</v>
      </c>
      <c r="N32" s="104">
        <f t="shared" si="19"/>
        <v>13</v>
      </c>
      <c r="O32" s="89">
        <f t="shared" si="20"/>
        <v>13</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Devon</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South West</v>
      </c>
      <c r="AQ32" s="42" t="str">
        <f t="shared" si="30"/>
        <v/>
      </c>
      <c r="AR32" s="39" t="str">
        <f>IF(AQ32="","",IF(I$8="A",(RANK(AQ32,AQ$11:AQ$333,1)+COUNTIF(AQ$11:AQ32,AQ32)-1),(RANK(AQ32,AQ$11:AQ$333)+COUNTIF(AQ$11:AQ32,AQ32)-1)))</f>
        <v/>
      </c>
      <c r="AS32" s="3">
        <f t="shared" si="18"/>
        <v>22</v>
      </c>
      <c r="AT32" s="39" t="str">
        <f t="shared" si="8"/>
        <v>Ipswich</v>
      </c>
      <c r="AU32" s="42">
        <f t="shared" si="9"/>
        <v>19</v>
      </c>
      <c r="AX32">
        <f>HLOOKUP($AX$9&amp;$AX$10,Data!$A$1:$ZT$1975,(MATCH($C32,Data!$A$1:$A$1975,0)),FALSE)</f>
        <v>20</v>
      </c>
    </row>
    <row r="33" spans="1:50">
      <c r="A33" s="55" t="str">
        <f>$D$1&amp;23</f>
        <v>SD23</v>
      </c>
      <c r="B33" s="56" t="str">
        <f>IF(ISERROR(VLOOKUP(A33,classifications!A:C,3,FALSE)),0,VLOOKUP(A33,classifications!A:C,3,FALSE))</f>
        <v>North Norfolk</v>
      </c>
      <c r="C33" t="s">
        <v>224</v>
      </c>
      <c r="D33" t="str">
        <f>VLOOKUP($C33,classifications!$C:$J,4,FALSE)</f>
        <v>MD</v>
      </c>
      <c r="E33">
        <f>VLOOKUP(C33,classifications!C:K,9,FALSE)</f>
        <v>0</v>
      </c>
      <c r="F33">
        <f t="shared" si="0"/>
        <v>25</v>
      </c>
      <c r="G33" s="15"/>
      <c r="H33" s="41" t="str">
        <f t="shared" si="1"/>
        <v/>
      </c>
      <c r="I33" s="73" t="str">
        <f>IF(H33="","",IF($I$8="A",(RANK(H33,H$11:H$333,1)+COUNTIF(H$11:H33,H33)-1),(RANK(H33,H$11:H$333)+COUNTIF(H$11:H33,H33)-1)))</f>
        <v/>
      </c>
      <c r="J33" s="40"/>
      <c r="K33" s="35">
        <f t="shared" si="10"/>
        <v>23</v>
      </c>
      <c r="L33" t="str">
        <f t="shared" si="2"/>
        <v>Folkestone &amp; Hythe</v>
      </c>
      <c r="M33" s="109">
        <f t="shared" si="3"/>
        <v>13</v>
      </c>
      <c r="N33" s="104">
        <f t="shared" si="19"/>
        <v>13</v>
      </c>
      <c r="O33" s="89">
        <f t="shared" si="20"/>
        <v>13</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Urban with Significant Rural</v>
      </c>
      <c r="Y33" t="str">
        <f t="shared" si="26"/>
        <v/>
      </c>
      <c r="Z33" s="39" t="str">
        <f>IF(Y33="","",IF(I$8="A",(RANK(Y33,Y$11:Y$333,1)+COUNTIF(Y$11:Y33,Y33)-1),(RANK(Y33,Y$11:Y$333)+COUNTIF(Y$11:Y33,Y33)-1)))</f>
        <v/>
      </c>
      <c r="AA33" s="177" t="str">
        <f>IF(L33="","",VLOOKUP($L33,classifications!C:I,7,FALSE))</f>
        <v>Urban with Significant Rural</v>
      </c>
      <c r="AB33" s="173" t="str">
        <f t="shared" si="27"/>
        <v/>
      </c>
      <c r="AC33" s="173" t="str">
        <f>IF(AB33="","",IF($I$8="A",(RANK(AB33,AB$11:AB$333)+COUNTIF(AB$11:AB33,AB33)-1),(RANK(AB33,AB$11:AB$333,1)+COUNTIF(AB$11:AB33,AB33)-1)))</f>
        <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Kent</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East</v>
      </c>
      <c r="AQ33" s="42" t="str">
        <f t="shared" si="30"/>
        <v/>
      </c>
      <c r="AR33" s="39" t="str">
        <f>IF(AQ33="","",IF(I$8="A",(RANK(AQ33,AQ$11:AQ$333,1)+COUNTIF(AQ$11:AQ33,AQ33)-1),(RANK(AQ33,AQ$11:AQ$333)+COUNTIF(AQ$11:AQ33,AQ33)-1)))</f>
        <v/>
      </c>
      <c r="AS33" s="3">
        <f t="shared" si="18"/>
        <v>23</v>
      </c>
      <c r="AT33" s="39" t="str">
        <f t="shared" si="8"/>
        <v>Stevenage</v>
      </c>
      <c r="AU33" s="42">
        <f t="shared" si="9"/>
        <v>19</v>
      </c>
      <c r="AX33">
        <f>HLOOKUP($AX$9&amp;$AX$10,Data!$A$1:$ZT$1975,(MATCH($C33,Data!$A$1:$A$1975,0)),FALSE)</f>
        <v>25</v>
      </c>
    </row>
    <row r="34" spans="1:50">
      <c r="A34" s="55" t="str">
        <f>$D$1&amp;24</f>
        <v>SD24</v>
      </c>
      <c r="B34" s="56" t="str">
        <f>IF(ISERROR(VLOOKUP(A34,classifications!A:C,3,FALSE)),0,VLOOKUP(A34,classifications!A:C,3,FALSE))</f>
        <v>Ribble Valley</v>
      </c>
      <c r="C34" t="s">
        <v>18</v>
      </c>
      <c r="D34" t="str">
        <f>VLOOKUP($C34,classifications!$C:$J,4,FALSE)</f>
        <v>SD</v>
      </c>
      <c r="E34" t="str">
        <f>VLOOKUP(C34,classifications!C:K,9,FALSE)</f>
        <v>Sparse</v>
      </c>
      <c r="F34">
        <f t="shared" si="0"/>
        <v>22</v>
      </c>
      <c r="G34" s="15"/>
      <c r="H34" s="41">
        <f t="shared" si="1"/>
        <v>22</v>
      </c>
      <c r="I34" s="73">
        <f>IF(H34="","",IF($I$8="A",(RANK(H34,H$11:H$333,1)+COUNTIF(H$11:H34,H34)-1),(RANK(H34,H$11:H$333)+COUNTIF(H$11:H34,H34)-1)))</f>
        <v>99</v>
      </c>
      <c r="J34" s="40"/>
      <c r="K34" s="35">
        <f t="shared" si="10"/>
        <v>24</v>
      </c>
      <c r="L34" t="str">
        <f t="shared" si="2"/>
        <v>Havant</v>
      </c>
      <c r="M34" s="109">
        <f t="shared" si="3"/>
        <v>13</v>
      </c>
      <c r="N34" s="104">
        <f t="shared" si="19"/>
        <v>13</v>
      </c>
      <c r="O34" s="89">
        <f t="shared" si="20"/>
        <v>13</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Hampshire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South East</v>
      </c>
      <c r="AQ34" s="42" t="str">
        <f t="shared" si="30"/>
        <v/>
      </c>
      <c r="AR34" s="39" t="str">
        <f>IF(AQ34="","",IF(I$8="A",(RANK(AQ34,AQ$11:AQ$333,1)+COUNTIF(AQ$11:AQ34,AQ34)-1),(RANK(AQ34,AQ$11:AQ$333)+COUNTIF(AQ$11:AQ34,AQ34)-1)))</f>
        <v/>
      </c>
      <c r="AS34" s="3">
        <f t="shared" si="18"/>
        <v>24</v>
      </c>
      <c r="AT34" s="39" t="str">
        <f t="shared" si="8"/>
        <v>East Hertfordshire</v>
      </c>
      <c r="AU34" s="42">
        <f t="shared" si="9"/>
        <v>20</v>
      </c>
      <c r="AX34">
        <f>HLOOKUP($AX$9&amp;$AX$10,Data!$A$1:$ZT$1975,(MATCH($C34,Data!$A$1:$A$1975,0)),FALSE)</f>
        <v>22</v>
      </c>
    </row>
    <row r="35" spans="1:50">
      <c r="A35" s="55" t="str">
        <f>$D$1&amp;25</f>
        <v>SD25</v>
      </c>
      <c r="B35" s="56" t="str">
        <f>IF(ISERROR(VLOOKUP(A35,classifications!A:C,3,FALSE)),0,VLOOKUP(A35,classifications!A:C,3,FALSE))</f>
        <v>Rother</v>
      </c>
      <c r="C35" t="s">
        <v>893</v>
      </c>
      <c r="D35" t="str">
        <f>VLOOKUP($C35,classifications!$C:$J,4,FALSE)</f>
        <v>UA</v>
      </c>
      <c r="E35">
        <f>VLOOKUP(C35,classifications!C:K,9,FALSE)</f>
        <v>0</v>
      </c>
      <c r="F35">
        <f t="shared" si="0"/>
        <v>19</v>
      </c>
      <c r="G35" s="15"/>
      <c r="H35" s="41" t="str">
        <f t="shared" si="1"/>
        <v/>
      </c>
      <c r="I35" s="73" t="str">
        <f>IF(H35="","",IF($I$8="A",(RANK(H35,H$11:H$333,1)+COUNTIF(H$11:H35,H35)-1),(RANK(H35,H$11:H$333)+COUNTIF(H$11:H35,H35)-1)))</f>
        <v/>
      </c>
      <c r="J35" s="40"/>
      <c r="K35" s="35">
        <f t="shared" si="10"/>
        <v>25</v>
      </c>
      <c r="L35" t="str">
        <f t="shared" si="2"/>
        <v>Newark &amp; Sherwood</v>
      </c>
      <c r="M35" s="109">
        <f t="shared" si="3"/>
        <v>13</v>
      </c>
      <c r="N35" s="104">
        <f t="shared" si="19"/>
        <v>13</v>
      </c>
      <c r="O35" s="89">
        <f t="shared" si="20"/>
        <v>13</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 xml:space="preserve">Predominantly Rural </v>
      </c>
      <c r="Y35">
        <f t="shared" si="26"/>
        <v>13</v>
      </c>
      <c r="Z35" s="39">
        <f>IF(Y35="","",IF(I$8="A",(RANK(Y35,Y$11:Y$333,1)+COUNTIF(Y$11:Y35,Y35)-1),(RANK(Y35,Y$11:Y$333)+COUNTIF(Y$11:Y35,Y35)-1)))</f>
        <v>7</v>
      </c>
      <c r="AA35" s="177" t="str">
        <f>IF(L35="","",VLOOKUP($L35,classifications!C:I,7,FALSE))</f>
        <v>Predominantly Rural</v>
      </c>
      <c r="AB35" s="173">
        <f t="shared" si="27"/>
        <v>13</v>
      </c>
      <c r="AC35" s="173">
        <f>IF(AB35="","",IF($I$8="A",(RANK(AB35,AB$11:AB$333)+COUNTIF(AB$11:AB35,AB35)-1),(RANK(AB35,AB$11:AB$333,1)+COUNTIF(AB$11:AB35,AB35)-1)))</f>
        <v>49</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Nottinghamshire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East Midlands</v>
      </c>
      <c r="AQ35" s="42" t="str">
        <f t="shared" si="30"/>
        <v/>
      </c>
      <c r="AR35" s="39" t="str">
        <f>IF(AQ35="","",IF(I$8="A",(RANK(AQ35,AQ$11:AQ$333,1)+COUNTIF(AQ$11:AQ35,AQ35)-1),(RANK(AQ35,AQ$11:AQ$333)+COUNTIF(AQ$11:AQ35,AQ35)-1)))</f>
        <v/>
      </c>
      <c r="AS35" s="3">
        <f t="shared" si="18"/>
        <v>25</v>
      </c>
      <c r="AT35" s="39" t="str">
        <f t="shared" si="8"/>
        <v>North Hertfordshire</v>
      </c>
      <c r="AU35" s="42">
        <f t="shared" si="9"/>
        <v>20</v>
      </c>
      <c r="AX35">
        <f>HLOOKUP($AX$9&amp;$AX$10,Data!$A$1:$ZT$1975,(MATCH($C35,Data!$A$1:$A$1975,0)),FALSE)</f>
        <v>19</v>
      </c>
    </row>
    <row r="36" spans="1:50">
      <c r="A36" s="55" t="str">
        <f>$D$1&amp;26</f>
        <v>SD26</v>
      </c>
      <c r="B36" s="56" t="str">
        <f>IF(ISERROR(VLOOKUP(A36,classifications!A:C,3,FALSE)),0,VLOOKUP(A36,classifications!A:C,3,FALSE))</f>
        <v>Rugby</v>
      </c>
      <c r="C36" t="s">
        <v>263</v>
      </c>
      <c r="D36" t="str">
        <f>VLOOKUP($C36,classifications!$C:$J,4,FALSE)</f>
        <v>UA</v>
      </c>
      <c r="E36">
        <f>VLOOKUP(C36,classifications!C:K,9,FALSE)</f>
        <v>0</v>
      </c>
      <c r="F36">
        <f t="shared" si="0"/>
        <v>15</v>
      </c>
      <c r="G36" s="15"/>
      <c r="H36" s="41" t="str">
        <f t="shared" si="1"/>
        <v/>
      </c>
      <c r="I36" s="73" t="str">
        <f>IF(H36="","",IF($I$8="A",(RANK(H36,H$11:H$333,1)+COUNTIF(H$11:H36,H36)-1),(RANK(H36,H$11:H$333)+COUNTIF(H$11:H36,H36)-1)))</f>
        <v/>
      </c>
      <c r="J36" s="40"/>
      <c r="K36" s="35">
        <f t="shared" si="10"/>
        <v>26</v>
      </c>
      <c r="L36" t="str">
        <f t="shared" si="2"/>
        <v>North Norfolk</v>
      </c>
      <c r="M36" s="109">
        <f t="shared" si="3"/>
        <v>13</v>
      </c>
      <c r="N36" s="104">
        <f t="shared" si="19"/>
        <v>13</v>
      </c>
      <c r="O36" s="89">
        <f t="shared" si="20"/>
        <v>13</v>
      </c>
      <c r="P36" s="89" t="str">
        <f t="shared" si="21"/>
        <v/>
      </c>
      <c r="Q36" s="89" t="str">
        <f t="shared" si="22"/>
        <v/>
      </c>
      <c r="R36" s="85" t="str">
        <f t="shared" si="23"/>
        <v/>
      </c>
      <c r="S36" s="41" t="str">
        <f t="shared" si="24"/>
        <v/>
      </c>
      <c r="T36" s="166" t="str">
        <f>IF(L36="","",VLOOKUP(L36,classifications!C:K,9,FALSE))</f>
        <v>Sparse</v>
      </c>
      <c r="U36" s="167">
        <f t="shared" si="25"/>
        <v>13</v>
      </c>
      <c r="V36" s="173">
        <f>IF(U36="","",IF($I$8="A",(RANK(U36,U$11:U$333)+COUNTIF(U$11:U36,U36)-1),(RANK(U36,U$11:U$333,1)+COUNTIF(U$11:U36,U36)-1)))</f>
        <v>38</v>
      </c>
      <c r="W36" s="174"/>
      <c r="X36" s="5" t="str">
        <f>IF(L36="","",VLOOKUP($L36,classifications!$C:$J,6,FALSE))</f>
        <v xml:space="preserve">Predominantly Rural </v>
      </c>
      <c r="Y36">
        <f t="shared" si="26"/>
        <v>13</v>
      </c>
      <c r="Z36" s="39">
        <f>IF(Y36="","",IF(I$8="A",(RANK(Y36,Y$11:Y$333,1)+COUNTIF(Y$11:Y36,Y36)-1),(RANK(Y36,Y$11:Y$333)+COUNTIF(Y$11:Y36,Y36)-1)))</f>
        <v>8</v>
      </c>
      <c r="AA36" s="177" t="str">
        <f>IF(L36="","",VLOOKUP($L36,classifications!C:I,7,FALSE))</f>
        <v>Predominantly Rural</v>
      </c>
      <c r="AB36" s="173">
        <f t="shared" si="27"/>
        <v>13</v>
      </c>
      <c r="AC36" s="173">
        <f>IF(AB36="","",IF($I$8="A",(RANK(AB36,AB$11:AB$333)+COUNTIF(AB$11:AB36,AB36)-1),(RANK(AB36,AB$11:AB$333,1)+COUNTIF(AB$11:AB36,AB36)-1)))</f>
        <v>50</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Norfolk</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East of England</v>
      </c>
      <c r="AQ36" s="42">
        <f t="shared" si="30"/>
        <v>13</v>
      </c>
      <c r="AR36" s="39">
        <f>IF(AQ36="","",IF(I$8="A",(RANK(AQ36,AQ$11:AQ$333,1)+COUNTIF(AQ$11:AQ36,AQ36)-1),(RANK(AQ36,AQ$11:AQ$333)+COUNTIF(AQ$11:AQ36,AQ36)-1)))</f>
        <v>8</v>
      </c>
      <c r="AS36" s="3">
        <f t="shared" si="18"/>
        <v>26</v>
      </c>
      <c r="AT36" s="39" t="str">
        <f t="shared" si="8"/>
        <v>Braintree</v>
      </c>
      <c r="AU36" s="42">
        <f t="shared" si="9"/>
        <v>21</v>
      </c>
      <c r="AX36">
        <f>HLOOKUP($AX$9&amp;$AX$10,Data!$A$1:$ZT$1975,(MATCH($C36,Data!$A$1:$A$1975,0)),FALSE)</f>
        <v>15</v>
      </c>
    </row>
    <row r="37" spans="1:50">
      <c r="A37" s="55" t="str">
        <f>$D$1&amp;27</f>
        <v>SD27</v>
      </c>
      <c r="B37" s="56" t="str">
        <f>IF(ISERROR(VLOOKUP(A37,classifications!A:C,3,FALSE)),0,VLOOKUP(A37,classifications!A:C,3,FALSE))</f>
        <v>South Cambridgeshire</v>
      </c>
      <c r="C37" t="s">
        <v>225</v>
      </c>
      <c r="D37" t="str">
        <f>VLOOKUP($C37,classifications!$C:$J,4,FALSE)</f>
        <v>MD</v>
      </c>
      <c r="E37">
        <f>VLOOKUP(C37,classifications!C:K,9,FALSE)</f>
        <v>0</v>
      </c>
      <c r="F37">
        <f t="shared" si="0"/>
        <v>17</v>
      </c>
      <c r="G37" s="15"/>
      <c r="H37" s="41" t="str">
        <f t="shared" si="1"/>
        <v/>
      </c>
      <c r="I37" s="73" t="str">
        <f>IF(H37="","",IF($I$8="A",(RANK(H37,H$11:H$333,1)+COUNTIF(H$11:H37,H37)-1),(RANK(H37,H$11:H$333)+COUNTIF(H$11:H37,H37)-1)))</f>
        <v/>
      </c>
      <c r="J37" s="40"/>
      <c r="K37" s="35">
        <f t="shared" si="10"/>
        <v>27</v>
      </c>
      <c r="L37" t="str">
        <f t="shared" si="2"/>
        <v>Stroud</v>
      </c>
      <c r="M37" s="109">
        <f t="shared" si="3"/>
        <v>13</v>
      </c>
      <c r="N37" s="104">
        <f t="shared" si="19"/>
        <v>13</v>
      </c>
      <c r="O37" s="89">
        <f t="shared" si="20"/>
        <v>13</v>
      </c>
      <c r="P37" s="89" t="str">
        <f t="shared" si="21"/>
        <v/>
      </c>
      <c r="Q37" s="89" t="str">
        <f t="shared" si="22"/>
        <v/>
      </c>
      <c r="R37" s="85" t="str">
        <f t="shared" si="23"/>
        <v/>
      </c>
      <c r="S37" s="41" t="str">
        <f t="shared" si="24"/>
        <v/>
      </c>
      <c r="T37" s="166" t="str">
        <f>IF(L37="","",VLOOKUP(L37,classifications!C:K,9,FALSE))</f>
        <v>Sparse</v>
      </c>
      <c r="U37" s="167">
        <f t="shared" si="25"/>
        <v>13</v>
      </c>
      <c r="V37" s="173">
        <f>IF(U37="","",IF($I$8="A",(RANK(U37,U$11:U$333)+COUNTIF(U$11:U37,U37)-1),(RANK(U37,U$11:U$333,1)+COUNTIF(U$11:U37,U37)-1)))</f>
        <v>39</v>
      </c>
      <c r="W37" s="174"/>
      <c r="X37" s="5" t="str">
        <f>IF(L37="","",VLOOKUP($L37,classifications!$C:$J,6,FALSE))</f>
        <v>Urban with Significant Rural</v>
      </c>
      <c r="Y37" t="str">
        <f t="shared" si="26"/>
        <v/>
      </c>
      <c r="Z37" s="39" t="str">
        <f>IF(Y37="","",IF(I$8="A",(RANK(Y37,Y$11:Y$333,1)+COUNTIF(Y$11:Y37,Y37)-1),(RANK(Y37,Y$11:Y$333)+COUNTIF(Y$11:Y37,Y37)-1)))</f>
        <v/>
      </c>
      <c r="AA37" s="177" t="str">
        <f>IF(L37="","",VLOOKUP($L37,classifications!C:I,7,FALSE))</f>
        <v>Urban with Significant Rural</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Gloucestershire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South West</v>
      </c>
      <c r="AQ37" s="42" t="str">
        <f t="shared" si="30"/>
        <v/>
      </c>
      <c r="AR37" s="39" t="str">
        <f>IF(AQ37="","",IF(I$8="A",(RANK(AQ37,AQ$11:AQ$333,1)+COUNTIF(AQ$11:AQ37,AQ37)-1),(RANK(AQ37,AQ$11:AQ$333)+COUNTIF(AQ$11:AQ37,AQ37)-1)))</f>
        <v/>
      </c>
      <c r="AS37" s="3">
        <f t="shared" si="18"/>
        <v>27</v>
      </c>
      <c r="AT37" s="39" t="str">
        <f t="shared" si="8"/>
        <v>Broadland</v>
      </c>
      <c r="AU37" s="42">
        <f t="shared" si="9"/>
        <v>22</v>
      </c>
      <c r="AX37">
        <f>HLOOKUP($AX$9&amp;$AX$10,Data!$A$1:$ZT$1975,(MATCH($C37,Data!$A$1:$A$1975,0)),FALSE)</f>
        <v>17</v>
      </c>
    </row>
    <row r="38" spans="1:50">
      <c r="A38" s="55" t="str">
        <f>$D$1&amp;28</f>
        <v>SD28</v>
      </c>
      <c r="B38" s="56" t="str">
        <f>IF(ISERROR(VLOOKUP(A38,classifications!A:C,3,FALSE)),0,VLOOKUP(A38,classifications!A:C,3,FALSE))</f>
        <v>South Hams</v>
      </c>
      <c r="C38" t="s">
        <v>19</v>
      </c>
      <c r="D38" t="str">
        <f>VLOOKUP($C38,classifications!$C:$J,4,FALSE)</f>
        <v>SD</v>
      </c>
      <c r="E38" t="str">
        <f>VLOOKUP(C38,classifications!C:K,9,FALSE)</f>
        <v>Sparse</v>
      </c>
      <c r="F38">
        <f t="shared" si="0"/>
        <v>21</v>
      </c>
      <c r="G38" s="15"/>
      <c r="H38" s="41">
        <f t="shared" si="1"/>
        <v>21</v>
      </c>
      <c r="I38" s="73">
        <f>IF(H38="","",IF($I$8="A",(RANK(H38,H$11:H$333,1)+COUNTIF(H$11:H38,H38)-1),(RANK(H38,H$11:H$333)+COUNTIF(H$11:H38,H38)-1)))</f>
        <v>92</v>
      </c>
      <c r="J38" s="40"/>
      <c r="K38" s="35">
        <f t="shared" si="10"/>
        <v>28</v>
      </c>
      <c r="L38" t="str">
        <f t="shared" si="2"/>
        <v>Teignbridge</v>
      </c>
      <c r="M38" s="109">
        <f t="shared" si="3"/>
        <v>13</v>
      </c>
      <c r="N38" s="104">
        <f t="shared" si="19"/>
        <v>13</v>
      </c>
      <c r="O38" s="89">
        <f t="shared" si="20"/>
        <v>13</v>
      </c>
      <c r="P38" s="89" t="str">
        <f t="shared" si="21"/>
        <v/>
      </c>
      <c r="Q38" s="89" t="str">
        <f t="shared" si="22"/>
        <v/>
      </c>
      <c r="R38" s="85" t="str">
        <f t="shared" si="23"/>
        <v/>
      </c>
      <c r="S38" s="41" t="str">
        <f t="shared" si="24"/>
        <v/>
      </c>
      <c r="T38" s="166" t="str">
        <f>IF(L38="","",VLOOKUP(L38,classifications!C:K,9,FALSE))</f>
        <v>Sparse</v>
      </c>
      <c r="U38" s="167">
        <f t="shared" si="25"/>
        <v>13</v>
      </c>
      <c r="V38" s="173">
        <f>IF(U38="","",IF($I$8="A",(RANK(U38,U$11:U$333)+COUNTIF(U$11:U38,U38)-1),(RANK(U38,U$11:U$333,1)+COUNTIF(U$11:U38,U38)-1)))</f>
        <v>40</v>
      </c>
      <c r="W38" s="174"/>
      <c r="X38" s="5" t="str">
        <f>IF(L38="","",VLOOKUP($L38,classifications!$C:$J,6,FALSE))</f>
        <v xml:space="preserve">Predominantly Rural </v>
      </c>
      <c r="Y38">
        <f t="shared" si="26"/>
        <v>13</v>
      </c>
      <c r="Z38" s="39">
        <f>IF(Y38="","",IF(I$8="A",(RANK(Y38,Y$11:Y$333,1)+COUNTIF(Y$11:Y38,Y38)-1),(RANK(Y38,Y$11:Y$333)+COUNTIF(Y$11:Y38,Y38)-1)))</f>
        <v>9</v>
      </c>
      <c r="AA38" s="177" t="str">
        <f>IF(L38="","",VLOOKUP($L38,classifications!C:I,7,FALSE))</f>
        <v>Predominantly Rural</v>
      </c>
      <c r="AB38" s="173">
        <f t="shared" si="27"/>
        <v>13</v>
      </c>
      <c r="AC38" s="173">
        <f>IF(AB38="","",IF($I$8="A",(RANK(AB38,AB$11:AB$333)+COUNTIF(AB$11:AB38,AB38)-1),(RANK(AB38,AB$11:AB$333,1)+COUNTIF(AB$11:AB38,AB38)-1)))</f>
        <v>51</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Devon</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West</v>
      </c>
      <c r="AQ38" s="42" t="str">
        <f t="shared" si="30"/>
        <v/>
      </c>
      <c r="AR38" s="39" t="str">
        <f>IF(AQ38="","",IF(I$8="A",(RANK(AQ38,AQ$11:AQ$333,1)+COUNTIF(AQ$11:AQ38,AQ38)-1),(RANK(AQ38,AQ$11:AQ$333)+COUNTIF(AQ$11:AQ38,AQ38)-1)))</f>
        <v/>
      </c>
      <c r="AS38" s="3">
        <f t="shared" si="18"/>
        <v>28</v>
      </c>
      <c r="AT38" s="39" t="str">
        <f t="shared" si="8"/>
        <v>East Cambridgeshire</v>
      </c>
      <c r="AU38" s="42">
        <f t="shared" si="9"/>
        <v>22</v>
      </c>
      <c r="AX38">
        <f>HLOOKUP($AX$9&amp;$AX$10,Data!$A$1:$ZT$1975,(MATCH($C38,Data!$A$1:$A$1975,0)),FALSE)</f>
        <v>21</v>
      </c>
    </row>
    <row r="39" spans="1:50">
      <c r="A39" s="55" t="str">
        <f>$D$1&amp;29</f>
        <v>SD29</v>
      </c>
      <c r="B39" s="56" t="str">
        <f>IF(ISERROR(VLOOKUP(A39,classifications!A:C,3,FALSE)),0,VLOOKUP(A39,classifications!A:C,3,FALSE))</f>
        <v>South Holland</v>
      </c>
      <c r="C39" t="s">
        <v>20</v>
      </c>
      <c r="D39" t="str">
        <f>VLOOKUP($C39,classifications!$C:$J,4,FALSE)</f>
        <v>SD</v>
      </c>
      <c r="E39">
        <f>VLOOKUP(C39,classifications!C:K,9,FALSE)</f>
        <v>0</v>
      </c>
      <c r="F39">
        <f t="shared" si="0"/>
        <v>27</v>
      </c>
      <c r="G39" s="15"/>
      <c r="H39" s="41">
        <f t="shared" si="1"/>
        <v>27</v>
      </c>
      <c r="I39" s="73">
        <f>IF(H39="","",IF($I$8="A",(RANK(H39,H$11:H$333,1)+COUNTIF(H$11:H39,H39)-1),(RANK(H39,H$11:H$333)+COUNTIF(H$11:H39,H39)-1)))</f>
        <v>141</v>
      </c>
      <c r="J39" s="40"/>
      <c r="K39" s="35">
        <f t="shared" si="10"/>
        <v>29</v>
      </c>
      <c r="L39" t="str">
        <f t="shared" si="2"/>
        <v>West Devon</v>
      </c>
      <c r="M39" s="109">
        <f t="shared" si="3"/>
        <v>13</v>
      </c>
      <c r="N39" s="104">
        <f t="shared" si="19"/>
        <v>13</v>
      </c>
      <c r="O39" s="89">
        <f t="shared" si="20"/>
        <v>13</v>
      </c>
      <c r="P39" s="89" t="str">
        <f t="shared" si="21"/>
        <v/>
      </c>
      <c r="Q39" s="89" t="str">
        <f t="shared" si="22"/>
        <v/>
      </c>
      <c r="R39" s="85" t="str">
        <f t="shared" si="23"/>
        <v/>
      </c>
      <c r="S39" s="41" t="str">
        <f t="shared" si="24"/>
        <v/>
      </c>
      <c r="T39" s="166" t="str">
        <f>IF(L39="","",VLOOKUP(L39,classifications!C:K,9,FALSE))</f>
        <v>Sparse</v>
      </c>
      <c r="U39" s="167">
        <f t="shared" si="25"/>
        <v>13</v>
      </c>
      <c r="V39" s="173">
        <f>IF(U39="","",IF($I$8="A",(RANK(U39,U$11:U$333)+COUNTIF(U$11:U39,U39)-1),(RANK(U39,U$11:U$333,1)+COUNTIF(U$11:U39,U39)-1)))</f>
        <v>41</v>
      </c>
      <c r="W39" s="174"/>
      <c r="X39" s="5" t="str">
        <f>IF(L39="","",VLOOKUP($L39,classifications!$C:$J,6,FALSE))</f>
        <v xml:space="preserve">Predominantly Rural </v>
      </c>
      <c r="Y39">
        <f t="shared" si="26"/>
        <v>13</v>
      </c>
      <c r="Z39" s="39">
        <f>IF(Y39="","",IF(I$8="A",(RANK(Y39,Y$11:Y$333,1)+COUNTIF(Y$11:Y39,Y39)-1),(RANK(Y39,Y$11:Y$333)+COUNTIF(Y$11:Y39,Y39)-1)))</f>
        <v>10</v>
      </c>
      <c r="AA39" s="177" t="str">
        <f>IF(L39="","",VLOOKUP($L39,classifications!C:I,7,FALSE))</f>
        <v>Predominantly Rural</v>
      </c>
      <c r="AB39" s="173">
        <f t="shared" si="27"/>
        <v>13</v>
      </c>
      <c r="AC39" s="173">
        <f>IF(AB39="","",IF($I$8="A",(RANK(AB39,AB$11:AB$333)+COUNTIF(AB$11:AB39,AB39)-1),(RANK(AB39,AB$11:AB$333,1)+COUNTIF(AB$11:AB39,AB39)-1)))</f>
        <v>52</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Devon</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West</v>
      </c>
      <c r="AQ39" s="42" t="str">
        <f t="shared" si="30"/>
        <v/>
      </c>
      <c r="AR39" s="39" t="str">
        <f>IF(AQ39="","",IF(I$8="A",(RANK(AQ39,AQ$11:AQ$333,1)+COUNTIF(AQ$11:AQ39,AQ39)-1),(RANK(AQ39,AQ$11:AQ$333)+COUNTIF(AQ$11:AQ39,AQ39)-1)))</f>
        <v/>
      </c>
      <c r="AS39" s="3">
        <f t="shared" si="18"/>
        <v>29</v>
      </c>
      <c r="AT39" s="39" t="str">
        <f t="shared" si="8"/>
        <v>Maldon</v>
      </c>
      <c r="AU39" s="42">
        <f t="shared" si="9"/>
        <v>22</v>
      </c>
      <c r="AX39">
        <f>HLOOKUP($AX$9&amp;$AX$10,Data!$A$1:$ZT$1975,(MATCH($C39,Data!$A$1:$A$1975,0)),FALSE)</f>
        <v>27</v>
      </c>
    </row>
    <row r="40" spans="1:50">
      <c r="A40" s="55" t="str">
        <f>$D$1&amp;30</f>
        <v>SD30</v>
      </c>
      <c r="B40" s="56" t="str">
        <f>IF(ISERROR(VLOOKUP(A40,classifications!A:C,3,FALSE)),0,VLOOKUP(A40,classifications!A:C,3,FALSE))</f>
        <v>South Kesteven</v>
      </c>
      <c r="C40" t="s">
        <v>198</v>
      </c>
      <c r="D40" t="str">
        <f>VLOOKUP($C40,classifications!$C:$J,4,FALSE)</f>
        <v>L</v>
      </c>
      <c r="E40">
        <f>VLOOKUP(C40,classifications!C:K,9,FALSE)</f>
        <v>0</v>
      </c>
      <c r="F40">
        <f t="shared" si="0"/>
        <v>19</v>
      </c>
      <c r="G40" s="15"/>
      <c r="H40" s="41" t="str">
        <f t="shared" si="1"/>
        <v/>
      </c>
      <c r="I40" s="73" t="str">
        <f>IF(H40="","",IF($I$8="A",(RANK(H40,H$11:H$333,1)+COUNTIF(H$11:H40,H40)-1),(RANK(H40,H$11:H$333)+COUNTIF(H$11:H40,H40)-1)))</f>
        <v/>
      </c>
      <c r="J40" s="40"/>
      <c r="K40" s="35">
        <f t="shared" si="10"/>
        <v>30</v>
      </c>
      <c r="L40" t="str">
        <f t="shared" si="2"/>
        <v>Arun</v>
      </c>
      <c r="M40" s="109">
        <f t="shared" si="3"/>
        <v>14</v>
      </c>
      <c r="N40" s="104">
        <f t="shared" si="19"/>
        <v>14</v>
      </c>
      <c r="O40" s="89">
        <f t="shared" si="20"/>
        <v>14</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West Sussex</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South East</v>
      </c>
      <c r="AQ40" s="42" t="str">
        <f t="shared" si="30"/>
        <v/>
      </c>
      <c r="AR40" s="39" t="str">
        <f>IF(AQ40="","",IF(I$8="A",(RANK(AQ40,AQ$11:AQ$333,1)+COUNTIF(AQ$11:AQ40,AQ40)-1),(RANK(AQ40,AQ$11:AQ$333)+COUNTIF(AQ$11:AQ40,AQ40)-1)))</f>
        <v/>
      </c>
      <c r="AS40" s="3">
        <f t="shared" si="18"/>
        <v>30</v>
      </c>
      <c r="AT40" s="39" t="str">
        <f t="shared" si="8"/>
        <v>Norwich</v>
      </c>
      <c r="AU40" s="42">
        <f t="shared" si="9"/>
        <v>22</v>
      </c>
      <c r="AX40">
        <f>HLOOKUP($AX$9&amp;$AX$10,Data!$A$1:$ZT$1975,(MATCH($C40,Data!$A$1:$A$1975,0)),FALSE)</f>
        <v>19</v>
      </c>
    </row>
    <row r="41" spans="1:50">
      <c r="A41" s="55" t="str">
        <f>$D$1&amp;31</f>
        <v>SD31</v>
      </c>
      <c r="B41" s="56" t="str">
        <f>IF(ISERROR(VLOOKUP(A41,classifications!A:C,3,FALSE)),0,VLOOKUP(A41,classifications!A:C,3,FALSE))</f>
        <v>South Norfolk</v>
      </c>
      <c r="C41" t="s">
        <v>21</v>
      </c>
      <c r="D41" t="str">
        <f>VLOOKUP($C41,classifications!$C:$J,4,FALSE)</f>
        <v>SD</v>
      </c>
      <c r="E41">
        <f>VLOOKUP(C41,classifications!C:K,9,FALSE)</f>
        <v>0</v>
      </c>
      <c r="F41">
        <f t="shared" si="0"/>
        <v>17</v>
      </c>
      <c r="G41" s="15"/>
      <c r="H41" s="41">
        <f t="shared" si="1"/>
        <v>17</v>
      </c>
      <c r="I41" s="73">
        <f>IF(H41="","",IF($I$8="A",(RANK(H41,H$11:H$333,1)+COUNTIF(H$11:H41,H41)-1),(RANK(H41,H$11:H$333)+COUNTIF(H$11:H41,H41)-1)))</f>
        <v>54</v>
      </c>
      <c r="J41" s="40"/>
      <c r="K41" s="35">
        <f t="shared" si="10"/>
        <v>31</v>
      </c>
      <c r="L41" t="str">
        <f t="shared" si="2"/>
        <v>Basingstoke &amp; Deane</v>
      </c>
      <c r="M41" s="109">
        <f t="shared" si="3"/>
        <v>14</v>
      </c>
      <c r="N41" s="104">
        <f t="shared" si="19"/>
        <v>14</v>
      </c>
      <c r="O41" s="89">
        <f t="shared" si="20"/>
        <v>14</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Urban with Significant Rural</v>
      </c>
      <c r="Y41" t="str">
        <f t="shared" si="26"/>
        <v/>
      </c>
      <c r="Z41" s="39" t="str">
        <f>IF(Y41="","",IF(I$8="A",(RANK(Y41,Y$11:Y$333,1)+COUNTIF(Y$11:Y41,Y41)-1),(RANK(Y41,Y$11:Y$333)+COUNTIF(Y$11:Y41,Y41)-1)))</f>
        <v/>
      </c>
      <c r="AA41" s="177" t="str">
        <f>IF(L41="","",VLOOKUP($L41,classifications!C:I,7,FALSE))</f>
        <v>Urban with Significant Rural</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Hampshire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East</v>
      </c>
      <c r="AQ41" s="42" t="str">
        <f t="shared" si="30"/>
        <v/>
      </c>
      <c r="AR41" s="39" t="str">
        <f>IF(AQ41="","",IF(I$8="A",(RANK(AQ41,AQ$11:AQ$333,1)+COUNTIF(AQ$11:AQ41,AQ41)-1),(RANK(AQ41,AQ$11:AQ$333)+COUNTIF(AQ$11:AQ41,AQ41)-1)))</f>
        <v/>
      </c>
      <c r="AS41" s="3">
        <f t="shared" si="18"/>
        <v>31</v>
      </c>
      <c r="AT41" s="39" t="str">
        <f t="shared" si="8"/>
        <v>Huntingdonshire</v>
      </c>
      <c r="AU41" s="42">
        <f t="shared" si="9"/>
        <v>24</v>
      </c>
      <c r="AX41">
        <f>HLOOKUP($AX$9&amp;$AX$10,Data!$A$1:$ZT$1975,(MATCH($C41,Data!$A$1:$A$1975,0)),FALSE)</f>
        <v>17</v>
      </c>
    </row>
    <row r="42" spans="1:50">
      <c r="A42" s="55" t="str">
        <f>$D$1&amp;32</f>
        <v>SD32</v>
      </c>
      <c r="B42" s="56" t="str">
        <f>IF(ISERROR(VLOOKUP(A42,classifications!A:C,3,FALSE)),0,VLOOKUP(A42,classifications!A:C,3,FALSE))</f>
        <v>South Oxfordshire</v>
      </c>
      <c r="C42" t="s">
        <v>812</v>
      </c>
      <c r="D42" t="str">
        <f>VLOOKUP($C42,classifications!$C:$J,4,FALSE)</f>
        <v>UA</v>
      </c>
      <c r="E42">
        <f>VLOOKUP(C42,classifications!C:K,9,FALSE)</f>
        <v>0</v>
      </c>
      <c r="F42">
        <f t="shared" si="0"/>
        <v>21</v>
      </c>
      <c r="G42" s="15"/>
      <c r="H42" s="41" t="str">
        <f t="shared" si="1"/>
        <v/>
      </c>
      <c r="I42" s="73" t="str">
        <f>IF(H42="","",IF($I$8="A",(RANK(H42,H$11:H$333,1)+COUNTIF(H$11:H42,H42)-1),(RANK(H42,H$11:H$333)+COUNTIF(H$11:H42,H42)-1)))</f>
        <v/>
      </c>
      <c r="J42" s="40"/>
      <c r="K42" s="35">
        <f t="shared" si="10"/>
        <v>32</v>
      </c>
      <c r="L42" t="str">
        <f t="shared" si="2"/>
        <v>Colchester</v>
      </c>
      <c r="M42" s="109">
        <f t="shared" si="3"/>
        <v>14</v>
      </c>
      <c r="N42" s="104">
        <f t="shared" si="19"/>
        <v>14</v>
      </c>
      <c r="O42" s="89">
        <f t="shared" si="20"/>
        <v>14</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t="str">
        <f t="shared" si="26"/>
        <v/>
      </c>
      <c r="Z42" s="39" t="str">
        <f>IF(Y42="","",IF(I$8="A",(RANK(Y42,Y$11:Y$333,1)+COUNTIF(Y$11:Y42,Y42)-1),(RANK(Y42,Y$11:Y$333)+COUNTIF(Y$11:Y42,Y42)-1)))</f>
        <v/>
      </c>
      <c r="AA42" s="177" t="str">
        <f>IF(L42="","",VLOOKUP($L42,classifications!C:I,7,FALSE))</f>
        <v>Urban with Significant Rural</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Essex</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of England</v>
      </c>
      <c r="AQ42" s="42">
        <f t="shared" si="30"/>
        <v>14</v>
      </c>
      <c r="AR42" s="39">
        <f>IF(AQ42="","",IF(I$8="A",(RANK(AQ42,AQ$11:AQ$333,1)+COUNTIF(AQ$11:AQ42,AQ42)-1),(RANK(AQ42,AQ$11:AQ$333)+COUNTIF(AQ$11:AQ42,AQ42)-1)))</f>
        <v>9</v>
      </c>
      <c r="AS42" s="3">
        <f t="shared" si="18"/>
        <v>32</v>
      </c>
      <c r="AT42" s="39" t="str">
        <f t="shared" si="8"/>
        <v>West Suffolk</v>
      </c>
      <c r="AU42" s="42">
        <f t="shared" si="9"/>
        <v>24</v>
      </c>
      <c r="AX42">
        <f>HLOOKUP($AX$9&amp;$AX$10,Data!$A$1:$ZT$1975,(MATCH($C42,Data!$A$1:$A$1975,0)),FALSE)</f>
        <v>21</v>
      </c>
    </row>
    <row r="43" spans="1:50">
      <c r="A43" s="55" t="str">
        <f>$D$1&amp;33</f>
        <v>SD33</v>
      </c>
      <c r="B43" s="56" t="str">
        <f>IF(ISERROR(VLOOKUP(A43,classifications!A:C,3,FALSE)),0,VLOOKUP(A43,classifications!A:C,3,FALSE))</f>
        <v>Stafford</v>
      </c>
      <c r="C43" t="s">
        <v>816</v>
      </c>
      <c r="D43" t="str">
        <f>VLOOKUP($C43,classifications!$C:$J,4,FALSE)</f>
        <v>UA</v>
      </c>
      <c r="E43">
        <f>VLOOKUP(C43,classifications!C:K,9,FALSE)</f>
        <v>0</v>
      </c>
      <c r="F43">
        <f t="shared" si="0"/>
        <v>15</v>
      </c>
      <c r="G43" s="15"/>
      <c r="H43" s="41" t="str">
        <f t="shared" si="1"/>
        <v/>
      </c>
      <c r="I43" s="73" t="str">
        <f>IF(H43="","",IF($I$8="A",(RANK(H43,H$11:H$333,1)+COUNTIF(H$11:H43,H43)-1),(RANK(H43,H$11:H$333)+COUNTIF(H$11:H43,H43)-1)))</f>
        <v/>
      </c>
      <c r="J43" s="40"/>
      <c r="K43" s="35">
        <f t="shared" si="10"/>
        <v>33</v>
      </c>
      <c r="L43" t="str">
        <f t="shared" si="2"/>
        <v>East Devon</v>
      </c>
      <c r="M43" s="109">
        <f t="shared" si="3"/>
        <v>14</v>
      </c>
      <c r="N43" s="104">
        <f t="shared" si="19"/>
        <v>14</v>
      </c>
      <c r="O43" s="89">
        <f t="shared" si="20"/>
        <v>14</v>
      </c>
      <c r="P43" s="89" t="str">
        <f t="shared" si="21"/>
        <v/>
      </c>
      <c r="Q43" s="89" t="str">
        <f t="shared" si="22"/>
        <v/>
      </c>
      <c r="R43" s="85" t="str">
        <f t="shared" si="23"/>
        <v/>
      </c>
      <c r="S43" s="41" t="str">
        <f t="shared" si="24"/>
        <v/>
      </c>
      <c r="T43" s="166" t="str">
        <f>IF(L43="","",VLOOKUP(L43,classifications!C:K,9,FALSE))</f>
        <v>Sparse</v>
      </c>
      <c r="U43" s="167">
        <f t="shared" si="25"/>
        <v>14</v>
      </c>
      <c r="V43" s="173">
        <f>IF(U43="","",IF($I$8="A",(RANK(U43,U$11:U$333)+COUNTIF(U$11:U43,U43)-1),(RANK(U43,U$11:U$333,1)+COUNTIF(U$11:U43,U43)-1)))</f>
        <v>34</v>
      </c>
      <c r="W43" s="174"/>
      <c r="X43" s="5" t="str">
        <f>IF(L43="","",VLOOKUP($L43,classifications!$C:$J,6,FALSE))</f>
        <v xml:space="preserve">Predominantly Rural </v>
      </c>
      <c r="Y43">
        <f t="shared" si="26"/>
        <v>14</v>
      </c>
      <c r="Z43" s="39">
        <f>IF(Y43="","",IF(I$8="A",(RANK(Y43,Y$11:Y$333,1)+COUNTIF(Y$11:Y43,Y43)-1),(RANK(Y43,Y$11:Y$333)+COUNTIF(Y$11:Y43,Y43)-1)))</f>
        <v>11</v>
      </c>
      <c r="AA43" s="177" t="str">
        <f>IF(L43="","",VLOOKUP($L43,classifications!C:I,7,FALSE))</f>
        <v>Predominantly Rural</v>
      </c>
      <c r="AB43" s="173">
        <f t="shared" si="27"/>
        <v>14</v>
      </c>
      <c r="AC43" s="173">
        <f>IF(AB43="","",IF($I$8="A",(RANK(AB43,AB$11:AB$333)+COUNTIF(AB$11:AB43,AB43)-1),(RANK(AB43,AB$11:AB$333,1)+COUNTIF(AB$11:AB43,AB43)-1)))</f>
        <v>44</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Devon</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West</v>
      </c>
      <c r="AQ43" s="42" t="str">
        <f t="shared" si="30"/>
        <v/>
      </c>
      <c r="AR43" s="39" t="str">
        <f>IF(AQ43="","",IF(I$8="A",(RANK(AQ43,AQ$11:AQ$333,1)+COUNTIF(AQ$11:AQ43,AQ43)-1),(RANK(AQ43,AQ$11:AQ$333)+COUNTIF(AQ$11:AQ43,AQ43)-1)))</f>
        <v/>
      </c>
      <c r="AS43" s="3">
        <f t="shared" si="18"/>
        <v>33</v>
      </c>
      <c r="AT43" s="39" t="str">
        <f t="shared" si="8"/>
        <v>Fenland</v>
      </c>
      <c r="AU43" s="42">
        <f t="shared" si="9"/>
        <v>25</v>
      </c>
      <c r="AX43">
        <f>HLOOKUP($AX$9&amp;$AX$10,Data!$A$1:$ZT$1975,(MATCH($C43,Data!$A$1:$A$1975,0)),FALSE)</f>
        <v>15</v>
      </c>
    </row>
    <row r="44" spans="1:50">
      <c r="A44" s="55" t="str">
        <f>$D$1&amp;34</f>
        <v>SD34</v>
      </c>
      <c r="B44" s="56" t="str">
        <f>IF(ISERROR(VLOOKUP(A44,classifications!A:C,3,FALSE)),0,VLOOKUP(A44,classifications!A:C,3,FALSE))</f>
        <v>Stratford-on-Avon</v>
      </c>
      <c r="C44" t="s">
        <v>22</v>
      </c>
      <c r="D44" t="str">
        <f>VLOOKUP($C44,classifications!$C:$J,4,FALSE)</f>
        <v>SD</v>
      </c>
      <c r="E44">
        <f>VLOOKUP(C44,classifications!C:K,9,FALSE)</f>
        <v>0</v>
      </c>
      <c r="F44">
        <f t="shared" si="0"/>
        <v>22</v>
      </c>
      <c r="G44" s="15"/>
      <c r="H44" s="41">
        <f t="shared" si="1"/>
        <v>22</v>
      </c>
      <c r="I44" s="73">
        <f>IF(H44="","",IF($I$8="A",(RANK(H44,H$11:H$333,1)+COUNTIF(H$11:H44,H44)-1),(RANK(H44,H$11:H$333)+COUNTIF(H$11:H44,H44)-1)))</f>
        <v>100</v>
      </c>
      <c r="J44" s="40"/>
      <c r="K44" s="35">
        <f t="shared" si="10"/>
        <v>34</v>
      </c>
      <c r="L44" t="str">
        <f t="shared" si="2"/>
        <v>Great Yarmouth</v>
      </c>
      <c r="M44" s="109">
        <f t="shared" si="3"/>
        <v>14</v>
      </c>
      <c r="N44" s="104">
        <f t="shared" si="19"/>
        <v>14</v>
      </c>
      <c r="O44" s="89">
        <f t="shared" si="20"/>
        <v>14</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Urban with Significant Rural</v>
      </c>
      <c r="Y44" t="str">
        <f t="shared" si="26"/>
        <v/>
      </c>
      <c r="Z44" s="39" t="str">
        <f>IF(Y44="","",IF(I$8="A",(RANK(Y44,Y$11:Y$333,1)+COUNTIF(Y$11:Y44,Y44)-1),(RANK(Y44,Y$11:Y$333)+COUNTIF(Y$11:Y44,Y44)-1)))</f>
        <v/>
      </c>
      <c r="AA44" s="177" t="str">
        <f>IF(L44="","",VLOOKUP($L44,classifications!C:I,7,FALSE))</f>
        <v>Urban with Significant Rural</v>
      </c>
      <c r="AB44" s="173" t="str">
        <f t="shared" si="27"/>
        <v/>
      </c>
      <c r="AC44" s="173" t="str">
        <f>IF(AB44="","",IF($I$8="A",(RANK(AB44,AB$11:AB$333)+COUNTIF(AB$11:AB44,AB44)-1),(RANK(AB44,AB$11:AB$333,1)+COUNTIF(AB$11:AB44,AB44)-1)))</f>
        <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Norfolk</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East of England</v>
      </c>
      <c r="AQ44" s="42">
        <f t="shared" si="30"/>
        <v>14</v>
      </c>
      <c r="AR44" s="39">
        <f>IF(AQ44="","",IF(I$8="A",(RANK(AQ44,AQ$11:AQ$333,1)+COUNTIF(AQ$11:AQ44,AQ44)-1),(RANK(AQ44,AQ$11:AQ$333)+COUNTIF(AQ$11:AQ44,AQ44)-1)))</f>
        <v>10</v>
      </c>
      <c r="AS44" s="3">
        <f t="shared" si="18"/>
        <v>34</v>
      </c>
      <c r="AT44" s="39" t="str">
        <f t="shared" si="8"/>
        <v>East Suffolk</v>
      </c>
      <c r="AU44" s="42">
        <f t="shared" si="9"/>
        <v>26</v>
      </c>
      <c r="AX44">
        <f>HLOOKUP($AX$9&amp;$AX$10,Data!$A$1:$ZT$1975,(MATCH($C44,Data!$A$1:$A$1975,0)),FALSE)</f>
        <v>22</v>
      </c>
    </row>
    <row r="45" spans="1:50">
      <c r="A45" s="55" t="str">
        <f>$D$1&amp;35</f>
        <v>SD35</v>
      </c>
      <c r="B45" s="56" t="str">
        <f>IF(ISERROR(VLOOKUP(A45,classifications!A:C,3,FALSE)),0,VLOOKUP(A45,classifications!A:C,3,FALSE))</f>
        <v>Stroud</v>
      </c>
      <c r="C45" t="s">
        <v>199</v>
      </c>
      <c r="D45" t="str">
        <f>VLOOKUP($C45,classifications!$C:$J,4,FALSE)</f>
        <v>L</v>
      </c>
      <c r="E45">
        <f>VLOOKUP(C45,classifications!C:K,9,FALSE)</f>
        <v>0</v>
      </c>
      <c r="F45">
        <f t="shared" si="0"/>
        <v>12</v>
      </c>
      <c r="G45" s="15"/>
      <c r="H45" s="41" t="str">
        <f t="shared" si="1"/>
        <v/>
      </c>
      <c r="I45" s="73" t="str">
        <f>IF(H45="","",IF($I$8="A",(RANK(H45,H$11:H$333,1)+COUNTIF(H$11:H45,H45)-1),(RANK(H45,H$11:H$333)+COUNTIF(H$11:H45,H45)-1)))</f>
        <v/>
      </c>
      <c r="J45" s="40"/>
      <c r="K45" s="35">
        <f t="shared" si="10"/>
        <v>35</v>
      </c>
      <c r="L45" t="str">
        <f t="shared" si="2"/>
        <v>Ribble Valley</v>
      </c>
      <c r="M45" s="109">
        <f t="shared" si="3"/>
        <v>14</v>
      </c>
      <c r="N45" s="104">
        <f t="shared" si="19"/>
        <v>14</v>
      </c>
      <c r="O45" s="89">
        <f t="shared" si="20"/>
        <v>14</v>
      </c>
      <c r="P45" s="89" t="str">
        <f t="shared" si="21"/>
        <v/>
      </c>
      <c r="Q45" s="89" t="str">
        <f t="shared" si="22"/>
        <v/>
      </c>
      <c r="R45" s="85" t="str">
        <f t="shared" si="23"/>
        <v/>
      </c>
      <c r="S45" s="41" t="str">
        <f t="shared" si="24"/>
        <v/>
      </c>
      <c r="T45" s="166" t="str">
        <f>IF(L45="","",VLOOKUP(L45,classifications!C:K,9,FALSE))</f>
        <v>Sparse</v>
      </c>
      <c r="U45" s="167">
        <f t="shared" si="25"/>
        <v>14</v>
      </c>
      <c r="V45" s="173">
        <f>IF(U45="","",IF($I$8="A",(RANK(U45,U$11:U$333)+COUNTIF(U$11:U45,U45)-1),(RANK(U45,U$11:U$333,1)+COUNTIF(U$11:U45,U45)-1)))</f>
        <v>35</v>
      </c>
      <c r="W45" s="174"/>
      <c r="X45" s="5" t="str">
        <f>IF(L45="","",VLOOKUP($L45,classifications!$C:$J,6,FALSE))</f>
        <v xml:space="preserve">Predominantly Rural </v>
      </c>
      <c r="Y45">
        <f t="shared" si="26"/>
        <v>14</v>
      </c>
      <c r="Z45" s="39">
        <f>IF(Y45="","",IF(I$8="A",(RANK(Y45,Y$11:Y$333,1)+COUNTIF(Y$11:Y45,Y45)-1),(RANK(Y45,Y$11:Y$333)+COUNTIF(Y$11:Y45,Y45)-1)))</f>
        <v>12</v>
      </c>
      <c r="AA45" s="177" t="str">
        <f>IF(L45="","",VLOOKUP($L45,classifications!C:I,7,FALSE))</f>
        <v>Predominantly Rural</v>
      </c>
      <c r="AB45" s="173">
        <f t="shared" si="27"/>
        <v>14</v>
      </c>
      <c r="AC45" s="173">
        <f>IF(AB45="","",IF($I$8="A",(RANK(AB45,AB$11:AB$333)+COUNTIF(AB$11:AB45,AB45)-1),(RANK(AB45,AB$11:AB$333,1)+COUNTIF(AB$11:AB45,AB45)-1)))</f>
        <v>45</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Lancashire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North West</v>
      </c>
      <c r="AQ45" s="42" t="str">
        <f t="shared" si="30"/>
        <v/>
      </c>
      <c r="AR45" s="39" t="str">
        <f>IF(AQ45="","",IF(I$8="A",(RANK(AQ45,AQ$11:AQ$333,1)+COUNTIF(AQ$11:AQ45,AQ45)-1),(RANK(AQ45,AQ$11:AQ$333)+COUNTIF(AQ$11:AQ45,AQ45)-1)))</f>
        <v/>
      </c>
      <c r="AS45" s="3">
        <f t="shared" si="18"/>
        <v>35</v>
      </c>
      <c r="AT45" s="39" t="str">
        <f t="shared" si="8"/>
        <v>Harlow</v>
      </c>
      <c r="AU45" s="42">
        <f t="shared" si="9"/>
        <v>26</v>
      </c>
      <c r="AX45">
        <f>HLOOKUP($AX$9&amp;$AX$10,Data!$A$1:$ZT$1975,(MATCH($C45,Data!$A$1:$A$1975,0)),FALSE)</f>
        <v>12</v>
      </c>
    </row>
    <row r="46" spans="1:50">
      <c r="A46" s="55" t="str">
        <f>$D$1&amp;36</f>
        <v>SD36</v>
      </c>
      <c r="B46" s="56" t="str">
        <f>IF(ISERROR(VLOOKUP(A46,classifications!A:C,3,FALSE)),0,VLOOKUP(A46,classifications!A:C,3,FALSE))</f>
        <v>Teignbridge</v>
      </c>
      <c r="C46" t="s">
        <v>23</v>
      </c>
      <c r="D46" t="str">
        <f>VLOOKUP($C46,classifications!$C:$J,4,FALSE)</f>
        <v>SD</v>
      </c>
      <c r="E46">
        <f>VLOOKUP(C46,classifications!C:K,9,FALSE)</f>
        <v>0</v>
      </c>
      <c r="F46">
        <f t="shared" si="0"/>
        <v>23</v>
      </c>
      <c r="G46" s="15"/>
      <c r="H46" s="41">
        <f t="shared" si="1"/>
        <v>23</v>
      </c>
      <c r="I46" s="73">
        <f>IF(H46="","",IF($I$8="A",(RANK(H46,H$11:H$333,1)+COUNTIF(H$11:H46,H46)-1),(RANK(H46,H$11:H$333)+COUNTIF(H$11:H46,H46)-1)))</f>
        <v>110</v>
      </c>
      <c r="J46" s="40"/>
      <c r="K46" s="35">
        <f t="shared" si="10"/>
        <v>36</v>
      </c>
      <c r="L46" t="str">
        <f t="shared" si="2"/>
        <v>South Cambridgeshire</v>
      </c>
      <c r="M46" s="109">
        <f t="shared" si="3"/>
        <v>14</v>
      </c>
      <c r="N46" s="104">
        <f t="shared" si="19"/>
        <v>14</v>
      </c>
      <c r="O46" s="89">
        <f t="shared" si="20"/>
        <v>14</v>
      </c>
      <c r="P46" s="89" t="str">
        <f t="shared" si="21"/>
        <v/>
      </c>
      <c r="Q46" s="89" t="str">
        <f t="shared" si="22"/>
        <v/>
      </c>
      <c r="R46" s="85" t="str">
        <f t="shared" si="23"/>
        <v/>
      </c>
      <c r="S46" s="41" t="str">
        <f t="shared" si="24"/>
        <v/>
      </c>
      <c r="T46" s="166" t="str">
        <f>IF(L46="","",VLOOKUP(L46,classifications!C:K,9,FALSE))</f>
        <v>Sparse</v>
      </c>
      <c r="U46" s="167">
        <f t="shared" si="25"/>
        <v>14</v>
      </c>
      <c r="V46" s="173">
        <f>IF(U46="","",IF($I$8="A",(RANK(U46,U$11:U$333)+COUNTIF(U$11:U46,U46)-1),(RANK(U46,U$11:U$333,1)+COUNTIF(U$11:U46,U46)-1)))</f>
        <v>36</v>
      </c>
      <c r="W46" s="174"/>
      <c r="X46" s="5" t="str">
        <f>IF(L46="","",VLOOKUP($L46,classifications!$C:$J,6,FALSE))</f>
        <v xml:space="preserve">Predominantly Rural </v>
      </c>
      <c r="Y46">
        <f t="shared" si="26"/>
        <v>14</v>
      </c>
      <c r="Z46" s="39">
        <f>IF(Y46="","",IF(I$8="A",(RANK(Y46,Y$11:Y$333,1)+COUNTIF(Y$11:Y46,Y46)-1),(RANK(Y46,Y$11:Y$333)+COUNTIF(Y$11:Y46,Y46)-1)))</f>
        <v>13</v>
      </c>
      <c r="AA46" s="177" t="str">
        <f>IF(L46="","",VLOOKUP($L46,classifications!C:I,7,FALSE))</f>
        <v>Predominantly Rural</v>
      </c>
      <c r="AB46" s="173">
        <f t="shared" si="27"/>
        <v>14</v>
      </c>
      <c r="AC46" s="173">
        <f>IF(AB46="","",IF($I$8="A",(RANK(AB46,AB$11:AB$333)+COUNTIF(AB$11:AB46,AB46)-1),(RANK(AB46,AB$11:AB$333,1)+COUNTIF(AB$11:AB46,AB46)-1)))</f>
        <v>46</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Cambridgeshire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East of England</v>
      </c>
      <c r="AQ46" s="42">
        <f t="shared" si="30"/>
        <v>14</v>
      </c>
      <c r="AR46" s="39">
        <f>IF(AQ46="","",IF(I$8="A",(RANK(AQ46,AQ$11:AQ$333,1)+COUNTIF(AQ$11:AQ46,AQ46)-1),(RANK(AQ46,AQ$11:AQ$333)+COUNTIF(AQ$11:AQ46,AQ46)-1)))</f>
        <v>11</v>
      </c>
      <c r="AS46" s="3">
        <f t="shared" si="18"/>
        <v>36</v>
      </c>
      <c r="AT46" s="39" t="str">
        <f t="shared" si="8"/>
        <v>Breckland</v>
      </c>
      <c r="AU46" s="42">
        <f t="shared" si="9"/>
        <v>27</v>
      </c>
      <c r="AX46">
        <f>HLOOKUP($AX$9&amp;$AX$10,Data!$A$1:$ZT$1975,(MATCH($C46,Data!$A$1:$A$1975,0)),FALSE)</f>
        <v>23</v>
      </c>
    </row>
    <row r="47" spans="1:50">
      <c r="A47" s="55" t="str">
        <f>$D$1&amp;37</f>
        <v>SD37</v>
      </c>
      <c r="B47" s="56" t="str">
        <f>IF(ISERROR(VLOOKUP(A47,classifications!A:C,3,FALSE)),0,VLOOKUP(A47,classifications!A:C,3,FALSE))</f>
        <v>Tewkesbury</v>
      </c>
      <c r="C47" t="s">
        <v>24</v>
      </c>
      <c r="D47" t="str">
        <f>VLOOKUP($C47,classifications!$C:$J,4,FALSE)</f>
        <v>SD</v>
      </c>
      <c r="E47">
        <f>VLOOKUP(C47,classifications!C:K,9,FALSE)</f>
        <v>0</v>
      </c>
      <c r="F47">
        <f t="shared" si="0"/>
        <v>19</v>
      </c>
      <c r="G47" s="15"/>
      <c r="H47" s="41">
        <f t="shared" si="1"/>
        <v>19</v>
      </c>
      <c r="I47" s="73">
        <f>IF(H47="","",IF($I$8="A",(RANK(H47,H$11:H$333,1)+COUNTIF(H$11:H47,H47)-1),(RANK(H47,H$11:H$333)+COUNTIF(H$11:H47,H47)-1)))</f>
        <v>73</v>
      </c>
      <c r="J47" s="40"/>
      <c r="K47" s="35">
        <f t="shared" si="10"/>
        <v>37</v>
      </c>
      <c r="L47" t="str">
        <f t="shared" si="2"/>
        <v>South Hams</v>
      </c>
      <c r="M47" s="109">
        <f t="shared" si="3"/>
        <v>14</v>
      </c>
      <c r="N47" s="104">
        <f t="shared" si="19"/>
        <v>14</v>
      </c>
      <c r="O47" s="89">
        <f t="shared" si="20"/>
        <v>14</v>
      </c>
      <c r="P47" s="89" t="str">
        <f t="shared" si="21"/>
        <v/>
      </c>
      <c r="Q47" s="89" t="str">
        <f t="shared" si="22"/>
        <v/>
      </c>
      <c r="R47" s="85" t="str">
        <f t="shared" si="23"/>
        <v/>
      </c>
      <c r="S47" s="41" t="str">
        <f t="shared" si="24"/>
        <v/>
      </c>
      <c r="T47" s="166" t="str">
        <f>IF(L47="","",VLOOKUP(L47,classifications!C:K,9,FALSE))</f>
        <v>Sparse</v>
      </c>
      <c r="U47" s="167">
        <f t="shared" si="25"/>
        <v>14</v>
      </c>
      <c r="V47" s="173">
        <f>IF(U47="","",IF($I$8="A",(RANK(U47,U$11:U$333)+COUNTIF(U$11:U47,U47)-1),(RANK(U47,U$11:U$333,1)+COUNTIF(U$11:U47,U47)-1)))</f>
        <v>37</v>
      </c>
      <c r="W47" s="174"/>
      <c r="X47" s="5" t="str">
        <f>IF(L47="","",VLOOKUP($L47,classifications!$C:$J,6,FALSE))</f>
        <v xml:space="preserve">Predominantly Rural </v>
      </c>
      <c r="Y47">
        <f t="shared" si="26"/>
        <v>14</v>
      </c>
      <c r="Z47" s="39">
        <f>IF(Y47="","",IF(I$8="A",(RANK(Y47,Y$11:Y$333,1)+COUNTIF(Y$11:Y47,Y47)-1),(RANK(Y47,Y$11:Y$333)+COUNTIF(Y$11:Y47,Y47)-1)))</f>
        <v>14</v>
      </c>
      <c r="AA47" s="177" t="str">
        <f>IF(L47="","",VLOOKUP($L47,classifications!C:I,7,FALSE))</f>
        <v>Predominantly Rural</v>
      </c>
      <c r="AB47" s="173">
        <f t="shared" si="27"/>
        <v>14</v>
      </c>
      <c r="AC47" s="173">
        <f>IF(AB47="","",IF($I$8="A",(RANK(AB47,AB$11:AB$333)+COUNTIF(AB$11:AB47,AB47)-1),(RANK(AB47,AB$11:AB$333,1)+COUNTIF(AB$11:AB47,AB47)-1)))</f>
        <v>47</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Devon</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South West</v>
      </c>
      <c r="AQ47" s="42" t="str">
        <f t="shared" si="30"/>
        <v/>
      </c>
      <c r="AR47" s="39" t="str">
        <f>IF(AQ47="","",IF(I$8="A",(RANK(AQ47,AQ$11:AQ$333,1)+COUNTIF(AQ$11:AQ47,AQ47)-1),(RANK(AQ47,AQ$11:AQ$333)+COUNTIF(AQ$11:AQ47,AQ47)-1)))</f>
        <v/>
      </c>
      <c r="AS47" s="3">
        <f t="shared" si="18"/>
        <v>37</v>
      </c>
      <c r="AT47" s="39" t="str">
        <f t="shared" si="8"/>
        <v>Dacorum</v>
      </c>
      <c r="AU47" s="42">
        <f t="shared" si="9"/>
        <v>27</v>
      </c>
      <c r="AX47">
        <f>HLOOKUP($AX$9&amp;$AX$10,Data!$A$1:$ZT$1975,(MATCH($C47,Data!$A$1:$A$1975,0)),FALSE)</f>
        <v>19</v>
      </c>
    </row>
    <row r="48" spans="1:50">
      <c r="A48" s="55" t="str">
        <f>$D$1&amp;38</f>
        <v>SD38</v>
      </c>
      <c r="B48" s="56" t="str">
        <f>IF(ISERROR(VLOOKUP(A48,classifications!A:C,3,FALSE)),0,VLOOKUP(A48,classifications!A:C,3,FALSE))</f>
        <v>Torridge</v>
      </c>
      <c r="C48" t="s">
        <v>25</v>
      </c>
      <c r="D48" t="str">
        <f>VLOOKUP($C48,classifications!$C:$J,4,FALSE)</f>
        <v>SD</v>
      </c>
      <c r="E48">
        <f>VLOOKUP(C48,classifications!C:K,9,FALSE)</f>
        <v>0</v>
      </c>
      <c r="F48">
        <f t="shared" si="0"/>
        <v>8</v>
      </c>
      <c r="G48" s="15"/>
      <c r="H48" s="41">
        <f t="shared" si="1"/>
        <v>8</v>
      </c>
      <c r="I48" s="73">
        <f>IF(H48="","",IF($I$8="A",(RANK(H48,H$11:H$333,1)+COUNTIF(H$11:H48,H48)-1),(RANK(H48,H$11:H$333)+COUNTIF(H$11:H48,H48)-1)))</f>
        <v>4</v>
      </c>
      <c r="J48" s="40"/>
      <c r="K48" s="35">
        <f t="shared" si="10"/>
        <v>38</v>
      </c>
      <c r="L48" t="str">
        <f t="shared" si="2"/>
        <v>Staffordshire Moorlands</v>
      </c>
      <c r="M48" s="109">
        <f t="shared" si="3"/>
        <v>14</v>
      </c>
      <c r="N48" s="104">
        <f t="shared" si="19"/>
        <v>14</v>
      </c>
      <c r="O48" s="89">
        <f t="shared" si="20"/>
        <v>14</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 xml:space="preserve">Predominantly Rural </v>
      </c>
      <c r="Y48">
        <f t="shared" si="26"/>
        <v>14</v>
      </c>
      <c r="Z48" s="39">
        <f>IF(Y48="","",IF(I$8="A",(RANK(Y48,Y$11:Y$333,1)+COUNTIF(Y$11:Y48,Y48)-1),(RANK(Y48,Y$11:Y$333)+COUNTIF(Y$11:Y48,Y48)-1)))</f>
        <v>15</v>
      </c>
      <c r="AA48" s="177" t="str">
        <f>IF(L48="","",VLOOKUP($L48,classifications!C:I,7,FALSE))</f>
        <v>Predominantly Rural</v>
      </c>
      <c r="AB48" s="173">
        <f t="shared" si="27"/>
        <v>14</v>
      </c>
      <c r="AC48" s="173">
        <f>IF(AB48="","",IF($I$8="A",(RANK(AB48,AB$11:AB$333)+COUNTIF(AB$11:AB48,AB48)-1),(RANK(AB48,AB$11:AB$333,1)+COUNTIF(AB$11:AB48,AB48)-1)))</f>
        <v>48</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Staffordshire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West Midlands</v>
      </c>
      <c r="AQ48" s="42" t="str">
        <f t="shared" si="30"/>
        <v/>
      </c>
      <c r="AR48" s="39" t="str">
        <f>IF(AQ48="","",IF(I$8="A",(RANK(AQ48,AQ$11:AQ$333,1)+COUNTIF(AQ$11:AQ48,AQ48)-1),(RANK(AQ48,AQ$11:AQ$333)+COUNTIF(AQ$11:AQ48,AQ48)-1)))</f>
        <v/>
      </c>
      <c r="AS48" s="3">
        <f t="shared" si="18"/>
        <v>38</v>
      </c>
      <c r="AT48" s="39" t="str">
        <f t="shared" si="8"/>
        <v>Hertsmere</v>
      </c>
      <c r="AU48" s="42">
        <f t="shared" si="9"/>
        <v>33</v>
      </c>
      <c r="AX48">
        <f>HLOOKUP($AX$9&amp;$AX$10,Data!$A$1:$ZT$1975,(MATCH($C48,Data!$A$1:$A$1975,0)),FALSE)</f>
        <v>8</v>
      </c>
    </row>
    <row r="49" spans="1:50">
      <c r="A49" s="55" t="str">
        <f>$D$1&amp;39</f>
        <v>SD39</v>
      </c>
      <c r="B49" s="56" t="str">
        <f>IF(ISERROR(VLOOKUP(A49,classifications!A:C,3,FALSE)),0,VLOOKUP(A49,classifications!A:C,3,FALSE))</f>
        <v>Uttlesford</v>
      </c>
      <c r="C49" t="s">
        <v>300</v>
      </c>
      <c r="D49" t="str">
        <f>VLOOKUP($C49,classifications!$C:$J,4,FALSE)</f>
        <v>UA</v>
      </c>
      <c r="E49">
        <f>VLOOKUP(C49,classifications!C:K,9,FALSE)</f>
        <v>0</v>
      </c>
      <c r="F49">
        <f t="shared" si="0"/>
        <v>29</v>
      </c>
      <c r="G49" s="15"/>
      <c r="H49" s="41" t="str">
        <f t="shared" si="1"/>
        <v/>
      </c>
      <c r="I49" s="73" t="str">
        <f>IF(H49="","",IF($I$8="A",(RANK(H49,H$11:H$333,1)+COUNTIF(H$11:H49,H49)-1),(RANK(H49,H$11:H$333)+COUNTIF(H$11:H49,H49)-1)))</f>
        <v/>
      </c>
      <c r="J49" s="40"/>
      <c r="K49" s="35">
        <f t="shared" si="10"/>
        <v>39</v>
      </c>
      <c r="L49" t="str">
        <f t="shared" si="2"/>
        <v>Basildon</v>
      </c>
      <c r="M49" s="109">
        <f t="shared" si="3"/>
        <v>15</v>
      </c>
      <c r="N49" s="104">
        <f t="shared" si="19"/>
        <v>15</v>
      </c>
      <c r="O49" s="89">
        <f t="shared" si="20"/>
        <v>15</v>
      </c>
      <c r="P49" s="89" t="str">
        <f t="shared" si="21"/>
        <v/>
      </c>
      <c r="Q49" s="89" t="str">
        <f t="shared" si="22"/>
        <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Essex</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East of England</v>
      </c>
      <c r="AQ49" s="42">
        <f t="shared" si="30"/>
        <v>15</v>
      </c>
      <c r="AR49" s="39">
        <f>IF(AQ49="","",IF(I$8="A",(RANK(AQ49,AQ$11:AQ$333,1)+COUNTIF(AQ$11:AQ49,AQ49)-1),(RANK(AQ49,AQ$11:AQ$333)+COUNTIF(AQ$11:AQ49,AQ49)-1)))</f>
        <v>12</v>
      </c>
      <c r="AS49" s="3">
        <f t="shared" si="18"/>
        <v>39</v>
      </c>
      <c r="AT49" s="39" t="str">
        <f t="shared" si="8"/>
        <v>Chelmsford</v>
      </c>
      <c r="AU49" s="42">
        <f t="shared" si="9"/>
        <v>72</v>
      </c>
      <c r="AX49">
        <f>HLOOKUP($AX$9&amp;$AX$10,Data!$A$1:$ZT$1975,(MATCH($C49,Data!$A$1:$A$1975,0)),FALSE)</f>
        <v>29</v>
      </c>
    </row>
    <row r="50" spans="1:50">
      <c r="A50" s="55" t="str">
        <f>$D$1&amp;40</f>
        <v>SD40</v>
      </c>
      <c r="B50" s="56" t="str">
        <f>IF(ISERROR(VLOOKUP(A50,classifications!A:C,3,FALSE)),0,VLOOKUP(A50,classifications!A:C,3,FALSE))</f>
        <v>Vale of White Horse</v>
      </c>
      <c r="C50" t="s">
        <v>26</v>
      </c>
      <c r="D50" t="str">
        <f>VLOOKUP($C50,classifications!$C:$J,4,FALSE)</f>
        <v>SD</v>
      </c>
      <c r="E50">
        <f>VLOOKUP(C50,classifications!C:K,9,FALSE)</f>
        <v>0</v>
      </c>
      <c r="F50">
        <f t="shared" si="0"/>
        <v>8</v>
      </c>
      <c r="G50" s="15"/>
      <c r="H50" s="41">
        <f t="shared" si="1"/>
        <v>8</v>
      </c>
      <c r="I50" s="73">
        <f>IF(H50="","",IF($I$8="A",(RANK(H50,H$11:H$333,1)+COUNTIF(H$11:H50,H50)-1),(RANK(H50,H$11:H$333)+COUNTIF(H$11:H50,H50)-1)))</f>
        <v>5</v>
      </c>
      <c r="J50" s="40"/>
      <c r="K50" s="35">
        <f t="shared" si="10"/>
        <v>40</v>
      </c>
      <c r="L50" t="str">
        <f t="shared" si="2"/>
        <v>Hart</v>
      </c>
      <c r="M50" s="109">
        <f t="shared" si="3"/>
        <v>15</v>
      </c>
      <c r="N50" s="104">
        <f t="shared" si="19"/>
        <v>15</v>
      </c>
      <c r="O50" s="89">
        <f t="shared" si="20"/>
        <v>15</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Urban with Significant Rural</v>
      </c>
      <c r="Y50" t="str">
        <f t="shared" si="26"/>
        <v/>
      </c>
      <c r="Z50" s="39" t="str">
        <f>IF(Y50="","",IF(I$8="A",(RANK(Y50,Y$11:Y$333,1)+COUNTIF(Y$11:Y50,Y50)-1),(RANK(Y50,Y$11:Y$333)+COUNTIF(Y$11:Y50,Y50)-1)))</f>
        <v/>
      </c>
      <c r="AA50" s="177" t="str">
        <f>IF(L50="","",VLOOKUP($L50,classifications!C:I,7,FALSE))</f>
        <v>Urban with Significant Rural</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Hampshire</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8</v>
      </c>
    </row>
    <row r="51" spans="1:50">
      <c r="A51" s="55" t="str">
        <f>$D$1&amp;41</f>
        <v>SD41</v>
      </c>
      <c r="B51" s="56" t="str">
        <f>IF(ISERROR(VLOOKUP(A51,classifications!A:C,3,FALSE)),0,VLOOKUP(A51,classifications!A:C,3,FALSE))</f>
        <v>Wealden</v>
      </c>
      <c r="C51" t="s">
        <v>226</v>
      </c>
      <c r="D51" t="str">
        <f>VLOOKUP($C51,classifications!$C:$J,4,FALSE)</f>
        <v>MD</v>
      </c>
      <c r="E51">
        <f>VLOOKUP(C51,classifications!C:K,9,FALSE)</f>
        <v>0</v>
      </c>
      <c r="F51">
        <f t="shared" si="0"/>
        <v>31</v>
      </c>
      <c r="G51" s="15"/>
      <c r="H51" s="41" t="str">
        <f t="shared" si="1"/>
        <v/>
      </c>
      <c r="I51" s="73" t="str">
        <f>IF(H51="","",IF($I$8="A",(RANK(H51,H$11:H$333,1)+COUNTIF(H$11:H51,H51)-1),(RANK(H51,H$11:H$333)+COUNTIF(H$11:H51,H51)-1)))</f>
        <v/>
      </c>
      <c r="J51" s="40"/>
      <c r="K51" s="35">
        <f t="shared" si="10"/>
        <v>41</v>
      </c>
      <c r="L51" t="str">
        <f t="shared" si="2"/>
        <v>King's Lynn &amp; West Norfolk</v>
      </c>
      <c r="M51" s="109">
        <f t="shared" si="3"/>
        <v>15</v>
      </c>
      <c r="N51" s="104">
        <f t="shared" si="19"/>
        <v>15</v>
      </c>
      <c r="O51" s="89">
        <f t="shared" si="20"/>
        <v>15</v>
      </c>
      <c r="P51" s="89" t="str">
        <f t="shared" si="21"/>
        <v/>
      </c>
      <c r="Q51" s="89" t="str">
        <f t="shared" si="22"/>
        <v/>
      </c>
      <c r="R51" s="85" t="str">
        <f t="shared" si="23"/>
        <v/>
      </c>
      <c r="S51" s="41" t="str">
        <f t="shared" si="24"/>
        <v/>
      </c>
      <c r="T51" s="166" t="str">
        <f>IF(L51="","",VLOOKUP(L51,classifications!C:K,9,FALSE))</f>
        <v>Sparse</v>
      </c>
      <c r="U51" s="167">
        <f t="shared" si="25"/>
        <v>15</v>
      </c>
      <c r="V51" s="173">
        <f>IF(U51="","",IF($I$8="A",(RANK(U51,U$11:U$333)+COUNTIF(U$11:U51,U51)-1),(RANK(U51,U$11:U$333,1)+COUNTIF(U$11:U51,U51)-1)))</f>
        <v>32</v>
      </c>
      <c r="W51" s="174"/>
      <c r="X51" s="5" t="str">
        <f>IF(L51="","",VLOOKUP($L51,classifications!$C:$J,6,FALSE))</f>
        <v xml:space="preserve">Predominantly Rural </v>
      </c>
      <c r="Y51">
        <f t="shared" si="26"/>
        <v>15</v>
      </c>
      <c r="Z51" s="39">
        <f>IF(Y51="","",IF(I$8="A",(RANK(Y51,Y$11:Y$333,1)+COUNTIF(Y$11:Y51,Y51)-1),(RANK(Y51,Y$11:Y$333)+COUNTIF(Y$11:Y51,Y51)-1)))</f>
        <v>16</v>
      </c>
      <c r="AA51" s="177" t="str">
        <f>IF(L51="","",VLOOKUP($L51,classifications!C:I,7,FALSE))</f>
        <v>Predominantly Rural</v>
      </c>
      <c r="AB51" s="173">
        <f t="shared" si="27"/>
        <v>15</v>
      </c>
      <c r="AC51" s="173">
        <f>IF(AB51="","",IF($I$8="A",(RANK(AB51,AB$11:AB$333)+COUNTIF(AB$11:AB51,AB51)-1),(RANK(AB51,AB$11:AB$333,1)+COUNTIF(AB$11:AB51,AB51)-1)))</f>
        <v>41</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Norfolk</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East of England</v>
      </c>
      <c r="AQ51" s="42">
        <f t="shared" si="30"/>
        <v>15</v>
      </c>
      <c r="AR51" s="39">
        <f>IF(AQ51="","",IF(I$8="A",(RANK(AQ51,AQ$11:AQ$333,1)+COUNTIF(AQ$11:AQ51,AQ51)-1),(RANK(AQ51,AQ$11:AQ$333)+COUNTIF(AQ$11:AQ51,AQ51)-1)))</f>
        <v>13</v>
      </c>
      <c r="AS51" s="3" t="str">
        <f t="shared" si="18"/>
        <v/>
      </c>
      <c r="AT51" s="39" t="str">
        <f t="shared" si="8"/>
        <v/>
      </c>
      <c r="AU51" s="42" t="str">
        <f t="shared" si="9"/>
        <v/>
      </c>
      <c r="AX51">
        <f>HLOOKUP($AX$9&amp;$AX$10,Data!$A$1:$ZT$1975,(MATCH($C51,Data!$A$1:$A$1975,0)),FALSE)</f>
        <v>31</v>
      </c>
    </row>
    <row r="52" spans="1:50">
      <c r="A52" s="55" t="str">
        <f>$D$1&amp;42</f>
        <v>SD42</v>
      </c>
      <c r="B52" s="56" t="str">
        <f>IF(ISERROR(VLOOKUP(A52,classifications!A:C,3,FALSE)),0,VLOOKUP(A52,classifications!A:C,3,FALSE))</f>
        <v>West Devon</v>
      </c>
      <c r="C52" t="s">
        <v>227</v>
      </c>
      <c r="D52" t="str">
        <f>VLOOKUP($C52,classifications!$C:$J,4,FALSE)</f>
        <v>MD</v>
      </c>
      <c r="E52">
        <f>VLOOKUP(C52,classifications!C:K,9,FALSE)</f>
        <v>0</v>
      </c>
      <c r="F52">
        <f t="shared" si="0"/>
        <v>24</v>
      </c>
      <c r="G52" s="15"/>
      <c r="H52" s="41" t="str">
        <f t="shared" si="1"/>
        <v/>
      </c>
      <c r="I52" s="73" t="str">
        <f>IF(H52="","",IF($I$8="A",(RANK(H52,H$11:H$333,1)+COUNTIF(H$11:H52,H52)-1),(RANK(H52,H$11:H$333)+COUNTIF(H$11:H52,H52)-1)))</f>
        <v/>
      </c>
      <c r="J52" s="40"/>
      <c r="K52" s="35">
        <f t="shared" si="10"/>
        <v>42</v>
      </c>
      <c r="L52" t="str">
        <f t="shared" si="2"/>
        <v>Tendring</v>
      </c>
      <c r="M52" s="109">
        <f t="shared" si="3"/>
        <v>15</v>
      </c>
      <c r="N52" s="104">
        <f t="shared" si="19"/>
        <v>15</v>
      </c>
      <c r="O52" s="89">
        <f t="shared" si="20"/>
        <v>15</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 xml:space="preserve">Predominantly Rural </v>
      </c>
      <c r="Y52">
        <f t="shared" si="26"/>
        <v>15</v>
      </c>
      <c r="Z52" s="39">
        <f>IF(Y52="","",IF(I$8="A",(RANK(Y52,Y$11:Y$333,1)+COUNTIF(Y$11:Y52,Y52)-1),(RANK(Y52,Y$11:Y$333)+COUNTIF(Y$11:Y52,Y52)-1)))</f>
        <v>17</v>
      </c>
      <c r="AA52" s="177" t="str">
        <f>IF(L52="","",VLOOKUP($L52,classifications!C:I,7,FALSE))</f>
        <v>Predominantly Rural</v>
      </c>
      <c r="AB52" s="173">
        <f t="shared" si="27"/>
        <v>15</v>
      </c>
      <c r="AC52" s="173">
        <f>IF(AB52="","",IF($I$8="A",(RANK(AB52,AB$11:AB$333)+COUNTIF(AB$11:AB52,AB52)-1),(RANK(AB52,AB$11:AB$333,1)+COUNTIF(AB$11:AB52,AB52)-1)))</f>
        <v>42</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Essex</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East of England</v>
      </c>
      <c r="AQ52" s="42">
        <f t="shared" si="30"/>
        <v>15</v>
      </c>
      <c r="AR52" s="39">
        <f>IF(AQ52="","",IF(I$8="A",(RANK(AQ52,AQ$11:AQ$333,1)+COUNTIF(AQ$11:AQ52,AQ52)-1),(RANK(AQ52,AQ$11:AQ$333)+COUNTIF(AQ$11:AQ52,AQ52)-1)))</f>
        <v>14</v>
      </c>
      <c r="AS52" s="3" t="str">
        <f t="shared" si="18"/>
        <v/>
      </c>
      <c r="AT52" s="39" t="str">
        <f t="shared" si="8"/>
        <v/>
      </c>
      <c r="AU52" s="42" t="str">
        <f t="shared" si="9"/>
        <v/>
      </c>
      <c r="AX52">
        <f>HLOOKUP($AX$9&amp;$AX$10,Data!$A$1:$ZT$1975,(MATCH($C52,Data!$A$1:$A$1975,0)),FALSE)</f>
        <v>24</v>
      </c>
    </row>
    <row r="53" spans="1:50">
      <c r="A53" s="55" t="str">
        <f>$D$1&amp;43</f>
        <v>SD43</v>
      </c>
      <c r="B53" s="56" t="str">
        <f>IF(ISERROR(VLOOKUP(A53,classifications!A:C,3,FALSE)),0,VLOOKUP(A53,classifications!A:C,3,FALSE))</f>
        <v>West Lindsey</v>
      </c>
      <c r="C53" t="s">
        <v>27</v>
      </c>
      <c r="D53" t="str">
        <f>VLOOKUP($C53,classifications!$C:$J,4,FALSE)</f>
        <v>SD</v>
      </c>
      <c r="E53">
        <f>VLOOKUP(C53,classifications!C:K,9,FALSE)</f>
        <v>0</v>
      </c>
      <c r="F53">
        <f t="shared" si="0"/>
        <v>11</v>
      </c>
      <c r="G53" s="15"/>
      <c r="H53" s="41">
        <f t="shared" si="1"/>
        <v>11</v>
      </c>
      <c r="I53" s="73">
        <f>IF(H53="","",IF($I$8="A",(RANK(H53,H$11:H$333,1)+COUNTIF(H$11:H53,H53)-1),(RANK(H53,H$11:H$333)+COUNTIF(H$11:H53,H53)-1)))</f>
        <v>12</v>
      </c>
      <c r="J53" s="40"/>
      <c r="K53" s="35">
        <f t="shared" si="10"/>
        <v>43</v>
      </c>
      <c r="L53" t="str">
        <f t="shared" si="2"/>
        <v>Vale of White Horse</v>
      </c>
      <c r="M53" s="109">
        <f t="shared" si="3"/>
        <v>15</v>
      </c>
      <c r="N53" s="104">
        <f t="shared" si="19"/>
        <v>15</v>
      </c>
      <c r="O53" s="89">
        <f t="shared" si="20"/>
        <v>15</v>
      </c>
      <c r="P53" s="89" t="str">
        <f t="shared" si="21"/>
        <v/>
      </c>
      <c r="Q53" s="89" t="str">
        <f t="shared" si="22"/>
        <v/>
      </c>
      <c r="R53" s="85" t="str">
        <f t="shared" si="23"/>
        <v/>
      </c>
      <c r="S53" s="41" t="str">
        <f t="shared" si="24"/>
        <v/>
      </c>
      <c r="T53" s="166" t="str">
        <f>IF(L53="","",VLOOKUP(L53,classifications!C:K,9,FALSE))</f>
        <v>Sparse</v>
      </c>
      <c r="U53" s="167">
        <f t="shared" si="25"/>
        <v>15</v>
      </c>
      <c r="V53" s="173">
        <f>IF(U53="","",IF($I$8="A",(RANK(U53,U$11:U$333)+COUNTIF(U$11:U53,U53)-1),(RANK(U53,U$11:U$333,1)+COUNTIF(U$11:U53,U53)-1)))</f>
        <v>33</v>
      </c>
      <c r="W53" s="174"/>
      <c r="X53" s="5" t="str">
        <f>IF(L53="","",VLOOKUP($L53,classifications!$C:$J,6,FALSE))</f>
        <v xml:space="preserve">Predominantly Rural </v>
      </c>
      <c r="Y53">
        <f t="shared" si="26"/>
        <v>15</v>
      </c>
      <c r="Z53" s="39">
        <f>IF(Y53="","",IF(I$8="A",(RANK(Y53,Y$11:Y$333,1)+COUNTIF(Y$11:Y53,Y53)-1),(RANK(Y53,Y$11:Y$333)+COUNTIF(Y$11:Y53,Y53)-1)))</f>
        <v>18</v>
      </c>
      <c r="AA53" s="177" t="str">
        <f>IF(L53="","",VLOOKUP($L53,classifications!C:I,7,FALSE))</f>
        <v>Predominantly Rural</v>
      </c>
      <c r="AB53" s="173">
        <f t="shared" si="27"/>
        <v>15</v>
      </c>
      <c r="AC53" s="173">
        <f>IF(AB53="","",IF($I$8="A",(RANK(AB53,AB$11:AB$333)+COUNTIF(AB$11:AB53,AB53)-1),(RANK(AB53,AB$11:AB$333,1)+COUNTIF(AB$11:AB53,AB53)-1)))</f>
        <v>43</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Oxfordshire</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11</v>
      </c>
    </row>
    <row r="54" spans="1:50">
      <c r="A54" s="55" t="str">
        <f>$D$1&amp;44</f>
        <v>SD44</v>
      </c>
      <c r="B54" s="56" t="str">
        <f>IF(ISERROR(VLOOKUP(A54,classifications!A:C,3,FALSE)),0,VLOOKUP(A54,classifications!A:C,3,FALSE))</f>
        <v>West Oxfordshire</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Charnwood</v>
      </c>
      <c r="M54" s="109">
        <f t="shared" si="3"/>
        <v>16</v>
      </c>
      <c r="N54" s="104">
        <f t="shared" si="19"/>
        <v>16</v>
      </c>
      <c r="O54" s="89" t="str">
        <f t="shared" si="20"/>
        <v/>
      </c>
      <c r="P54" s="89">
        <f t="shared" si="21"/>
        <v>16</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Leicestershire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t="str">
        <f>IF(ISERROR(VLOOKUP(A55,classifications!A:C,3,FALSE)),0,VLOOKUP(A55,classifications!A:C,3,FALSE))</f>
        <v>West Suffolk</v>
      </c>
      <c r="C55" t="s">
        <v>200</v>
      </c>
      <c r="D55" t="str">
        <f>VLOOKUP($C55,classifications!$C:$J,4,FALSE)</f>
        <v>L</v>
      </c>
      <c r="E55">
        <f>VLOOKUP(C55,classifications!C:K,9,FALSE)</f>
        <v>0</v>
      </c>
      <c r="F55">
        <f t="shared" si="0"/>
        <v>32</v>
      </c>
      <c r="G55" s="15"/>
      <c r="H55" s="41" t="str">
        <f t="shared" si="1"/>
        <v/>
      </c>
      <c r="I55" s="73" t="str">
        <f>IF(H55="","",IF($I$8="A",(RANK(H55,H$11:H$333,1)+COUNTIF(H$11:H55,H55)-1),(RANK(H55,H$11:H$333)+COUNTIF(H$11:H55,H55)-1)))</f>
        <v/>
      </c>
      <c r="J55" s="40"/>
      <c r="K55" s="35">
        <f t="shared" si="10"/>
        <v>45</v>
      </c>
      <c r="L55" t="str">
        <f t="shared" si="2"/>
        <v>Fylde</v>
      </c>
      <c r="M55" s="109">
        <f t="shared" si="3"/>
        <v>16</v>
      </c>
      <c r="N55" s="104">
        <f t="shared" si="19"/>
        <v>16</v>
      </c>
      <c r="O55" s="89" t="str">
        <f t="shared" si="20"/>
        <v/>
      </c>
      <c r="P55" s="89">
        <f t="shared" si="21"/>
        <v>16</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Lancashire</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North West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32</v>
      </c>
    </row>
    <row r="56" spans="1:50">
      <c r="A56" s="55" t="str">
        <f>$D$1&amp;46</f>
        <v>SD46</v>
      </c>
      <c r="B56" s="56" t="str">
        <f>IF(ISERROR(VLOOKUP(A56,classifications!A:C,3,FALSE)),0,VLOOKUP(A56,classifications!A:C,3,FALSE))</f>
        <v>Wychavon</v>
      </c>
      <c r="C56" t="s">
        <v>28</v>
      </c>
      <c r="D56" t="str">
        <f>VLOOKUP($C56,classifications!$C:$J,4,FALSE)</f>
        <v>SD</v>
      </c>
      <c r="E56">
        <f>VLOOKUP(C56,classifications!C:K,9,FALSE)</f>
        <v>0</v>
      </c>
      <c r="F56">
        <f t="shared" si="0"/>
        <v>45</v>
      </c>
      <c r="G56" s="15"/>
      <c r="H56" s="41">
        <f t="shared" si="1"/>
        <v>45</v>
      </c>
      <c r="I56" s="73">
        <f>IF(H56="","",IF($I$8="A",(RANK(H56,H$11:H$333,1)+COUNTIF(H$11:H56,H56)-1),(RANK(H56,H$11:H$333)+COUNTIF(H$11:H56,H56)-1)))</f>
        <v>162</v>
      </c>
      <c r="J56" s="40"/>
      <c r="K56" s="35">
        <f t="shared" si="10"/>
        <v>46</v>
      </c>
      <c r="L56" t="str">
        <f t="shared" si="2"/>
        <v>Gosport</v>
      </c>
      <c r="M56" s="109">
        <f t="shared" si="3"/>
        <v>16</v>
      </c>
      <c r="N56" s="104">
        <f t="shared" si="19"/>
        <v>16</v>
      </c>
      <c r="O56" s="89" t="str">
        <f t="shared" si="20"/>
        <v/>
      </c>
      <c r="P56" s="89">
        <f t="shared" si="21"/>
        <v>16</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Hampshire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South East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45</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19</v>
      </c>
      <c r="G57" s="15"/>
      <c r="H57" s="41">
        <f t="shared" si="1"/>
        <v>19</v>
      </c>
      <c r="I57" s="73">
        <f>IF(H57="","",IF($I$8="A",(RANK(H57,H$11:H$333,1)+COUNTIF(H$11:H57,H57)-1),(RANK(H57,H$11:H$333)+COUNTIF(H$11:H57,H57)-1)))</f>
        <v>74</v>
      </c>
      <c r="J57" s="40"/>
      <c r="K57" s="35">
        <f t="shared" si="10"/>
        <v>47</v>
      </c>
      <c r="L57" t="str">
        <f t="shared" si="2"/>
        <v>Lincoln</v>
      </c>
      <c r="M57" s="109">
        <f t="shared" si="3"/>
        <v>16</v>
      </c>
      <c r="N57" s="104">
        <f t="shared" si="19"/>
        <v>16</v>
      </c>
      <c r="O57" s="89" t="str">
        <f t="shared" si="20"/>
        <v/>
      </c>
      <c r="P57" s="89">
        <f t="shared" si="21"/>
        <v>16</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Lincolnshire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19</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18</v>
      </c>
      <c r="G58" s="15"/>
      <c r="H58" s="41">
        <f t="shared" si="1"/>
        <v>18</v>
      </c>
      <c r="I58" s="73">
        <f>IF(H58="","",IF($I$8="A",(RANK(H58,H$11:H$333,1)+COUNTIF(H$11:H58,H58)-1),(RANK(H58,H$11:H$333)+COUNTIF(H$11:H58,H58)-1)))</f>
        <v>62</v>
      </c>
      <c r="J58" s="40"/>
      <c r="K58" s="35">
        <f t="shared" si="10"/>
        <v>48</v>
      </c>
      <c r="L58" t="str">
        <f t="shared" si="2"/>
        <v>Mansfield</v>
      </c>
      <c r="M58" s="109">
        <f t="shared" si="3"/>
        <v>16</v>
      </c>
      <c r="N58" s="104">
        <f t="shared" ref="N58:N121" si="31">IF(L58="","",IF($H$8="%%",M58*100,M58))</f>
        <v>16</v>
      </c>
      <c r="O58" s="89" t="str">
        <f t="shared" ref="O58:O121" si="32">IF(I$8="A",IF(N58&gt;=$P$7,IF(N58&lt;=$O$10,N58,""),""),IF(N58&lt;=$P$7,IF(N58&gt;=$O$10,N58,""),""))</f>
        <v/>
      </c>
      <c r="P58" s="89">
        <f t="shared" ref="P58:P121" si="33">IF(I$8="A",IF(N58&gt;$O$10,IF(N58&lt;=$P$10,N58,""),""),IF(N58&lt;$O$10,IF(N58&gt;=$P$10,N58,""),""))</f>
        <v>16</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Nottinghamshire</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East Midlands</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18</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42</v>
      </c>
      <c r="G59" s="15"/>
      <c r="H59" s="41" t="str">
        <f t="shared" si="1"/>
        <v/>
      </c>
      <c r="I59" s="73" t="str">
        <f>IF(H59="","",IF($I$8="A",(RANK(H59,H$11:H$333,1)+COUNTIF(H$11:H59,H59)-1),(RANK(H59,H$11:H$333)+COUNTIF(H$11:H59,H59)-1)))</f>
        <v/>
      </c>
      <c r="J59" s="40"/>
      <c r="K59" s="35">
        <f t="shared" si="10"/>
        <v>49</v>
      </c>
      <c r="L59" t="str">
        <f t="shared" si="2"/>
        <v>Rossendale</v>
      </c>
      <c r="M59" s="109">
        <f t="shared" si="3"/>
        <v>16</v>
      </c>
      <c r="N59" s="104">
        <f t="shared" si="31"/>
        <v>16</v>
      </c>
      <c r="O59" s="89" t="str">
        <f t="shared" si="32"/>
        <v/>
      </c>
      <c r="P59" s="89">
        <f t="shared" si="33"/>
        <v>16</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Lancashire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North West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42</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16</v>
      </c>
      <c r="G60" s="15"/>
      <c r="H60" s="41">
        <f t="shared" si="1"/>
        <v>16</v>
      </c>
      <c r="I60" s="73">
        <f>IF(H60="","",IF($I$8="A",(RANK(H60,H$11:H$333,1)+COUNTIF(H$11:H60,H60)-1),(RANK(H60,H$11:H$333)+COUNTIF(H$11:H60,H60)-1)))</f>
        <v>44</v>
      </c>
      <c r="J60" s="40"/>
      <c r="K60" s="35">
        <f t="shared" si="10"/>
        <v>50</v>
      </c>
      <c r="L60" t="str">
        <f t="shared" si="2"/>
        <v>South Oxfordshire</v>
      </c>
      <c r="M60" s="109">
        <f t="shared" si="3"/>
        <v>16</v>
      </c>
      <c r="N60" s="104">
        <f t="shared" si="31"/>
        <v>16</v>
      </c>
      <c r="O60" s="89" t="str">
        <f t="shared" si="32"/>
        <v/>
      </c>
      <c r="P60" s="89">
        <f t="shared" si="33"/>
        <v>16</v>
      </c>
      <c r="Q60" s="89" t="str">
        <f t="shared" si="34"/>
        <v/>
      </c>
      <c r="R60" s="85" t="str">
        <f t="shared" si="35"/>
        <v/>
      </c>
      <c r="S60" s="41" t="str">
        <f t="shared" si="36"/>
        <v/>
      </c>
      <c r="T60" s="166" t="str">
        <f>IF(L60="","",VLOOKUP(L60,classifications!C:K,9,FALSE))</f>
        <v>Sparse</v>
      </c>
      <c r="U60" s="167">
        <f t="shared" si="37"/>
        <v>16</v>
      </c>
      <c r="V60" s="173">
        <f>IF(U60="","",IF($I$8="A",(RANK(U60,U$11:U$333)+COUNTIF(U$11:U60,U60)-1),(RANK(U60,U$11:U$333,1)+COUNTIF(U$11:U60,U60)-1)))</f>
        <v>30</v>
      </c>
      <c r="W60" s="174"/>
      <c r="X60" s="5" t="str">
        <f>IF(L60="","",VLOOKUP($L60,classifications!$C:$J,6,FALSE))</f>
        <v xml:space="preserve">Predominantly Rural </v>
      </c>
      <c r="Y60">
        <f t="shared" si="38"/>
        <v>16</v>
      </c>
      <c r="Z60" s="39">
        <f>IF(Y60="","",IF(I$8="A",(RANK(Y60,Y$11:Y$333,1)+COUNTIF(Y$11:Y60,Y60)-1),(RANK(Y60,Y$11:Y$333)+COUNTIF(Y$11:Y60,Y60)-1)))</f>
        <v>19</v>
      </c>
      <c r="AA60" s="177" t="str">
        <f>IF(L60="","",VLOOKUP($L60,classifications!C:I,7,FALSE))</f>
        <v>Predominantly Rural</v>
      </c>
      <c r="AB60" s="173">
        <f t="shared" si="39"/>
        <v>16</v>
      </c>
      <c r="AC60" s="173">
        <f>IF(AB60="","",IF($I$8="A",(RANK(AB60,AB$11:AB$333)+COUNTIF(AB$11:AB60,AB60)-1),(RANK(AB60,AB$11:AB$333,1)+COUNTIF(AB$11:AB60,AB60)-1)))</f>
        <v>39</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Oxfordshire</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16</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72</v>
      </c>
      <c r="G61" s="15"/>
      <c r="H61" s="41">
        <f t="shared" si="1"/>
        <v>72</v>
      </c>
      <c r="I61" s="73">
        <f>IF(H61="","",IF($I$8="A",(RANK(H61,H$11:H$333,1)+COUNTIF(H$11:H61,H61)-1),(RANK(H61,H$11:H$333)+COUNTIF(H$11:H61,H61)-1)))</f>
        <v>163</v>
      </c>
      <c r="J61" s="40"/>
      <c r="K61" s="35">
        <f t="shared" si="10"/>
        <v>51</v>
      </c>
      <c r="L61" t="str">
        <f t="shared" si="2"/>
        <v>Tunbridge Wells</v>
      </c>
      <c r="M61" s="109">
        <f t="shared" si="3"/>
        <v>16</v>
      </c>
      <c r="N61" s="104">
        <f t="shared" si="31"/>
        <v>16</v>
      </c>
      <c r="O61" s="89" t="str">
        <f t="shared" si="32"/>
        <v/>
      </c>
      <c r="P61" s="89">
        <f t="shared" si="33"/>
        <v>16</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Urban with Significant Rural</v>
      </c>
      <c r="Y61" t="str">
        <f t="shared" si="38"/>
        <v/>
      </c>
      <c r="Z61" s="39" t="str">
        <f>IF(Y61="","",IF(I$8="A",(RANK(Y61,Y$11:Y$333,1)+COUNTIF(Y$11:Y61,Y61)-1),(RANK(Y61,Y$11:Y$333)+COUNTIF(Y$11:Y61,Y61)-1)))</f>
        <v/>
      </c>
      <c r="AA61" s="177" t="str">
        <f>IF(L61="","",VLOOKUP($L61,classifications!C:I,7,FALSE))</f>
        <v>Urban with Significant Rural</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Kent</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South East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72</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21</v>
      </c>
      <c r="G62" s="15"/>
      <c r="H62" s="41">
        <f t="shared" si="1"/>
        <v>21</v>
      </c>
      <c r="I62" s="73">
        <f>IF(H62="","",IF($I$8="A",(RANK(H62,H$11:H$333,1)+COUNTIF(H$11:H62,H62)-1),(RANK(H62,H$11:H$333)+COUNTIF(H$11:H62,H62)-1)))</f>
        <v>93</v>
      </c>
      <c r="J62" s="40"/>
      <c r="K62" s="35">
        <f t="shared" si="10"/>
        <v>52</v>
      </c>
      <c r="L62" t="str">
        <f t="shared" si="2"/>
        <v>West Lindsey</v>
      </c>
      <c r="M62" s="109">
        <f t="shared" si="3"/>
        <v>16</v>
      </c>
      <c r="N62" s="104">
        <f t="shared" si="31"/>
        <v>16</v>
      </c>
      <c r="O62" s="89" t="str">
        <f t="shared" si="32"/>
        <v/>
      </c>
      <c r="P62" s="89">
        <f t="shared" si="33"/>
        <v>16</v>
      </c>
      <c r="Q62" s="89" t="str">
        <f t="shared" si="34"/>
        <v/>
      </c>
      <c r="R62" s="85" t="str">
        <f t="shared" si="35"/>
        <v/>
      </c>
      <c r="S62" s="41" t="str">
        <f t="shared" si="36"/>
        <v/>
      </c>
      <c r="T62" s="166" t="str">
        <f>IF(L62="","",VLOOKUP(L62,classifications!C:K,9,FALSE))</f>
        <v>Sparse</v>
      </c>
      <c r="U62" s="167">
        <f t="shared" si="37"/>
        <v>16</v>
      </c>
      <c r="V62" s="173">
        <f>IF(U62="","",IF($I$8="A",(RANK(U62,U$11:U$333)+COUNTIF(U$11:U62,U62)-1),(RANK(U62,U$11:U$333,1)+COUNTIF(U$11:U62,U62)-1)))</f>
        <v>31</v>
      </c>
      <c r="W62" s="174"/>
      <c r="X62" s="5" t="str">
        <f>IF(L62="","",VLOOKUP($L62,classifications!$C:$J,6,FALSE))</f>
        <v xml:space="preserve">Predominantly Rural </v>
      </c>
      <c r="Y62">
        <f t="shared" si="38"/>
        <v>16</v>
      </c>
      <c r="Z62" s="39">
        <f>IF(Y62="","",IF(I$8="A",(RANK(Y62,Y$11:Y$333,1)+COUNTIF(Y$11:Y62,Y62)-1),(RANK(Y62,Y$11:Y$333)+COUNTIF(Y$11:Y62,Y62)-1)))</f>
        <v>20</v>
      </c>
      <c r="AA62" s="177" t="str">
        <f>IF(L62="","",VLOOKUP($L62,classifications!C:I,7,FALSE))</f>
        <v>Predominantly Rural</v>
      </c>
      <c r="AB62" s="173">
        <f t="shared" si="39"/>
        <v>16</v>
      </c>
      <c r="AC62" s="173">
        <f>IF(AB62="","",IF($I$8="A",(RANK(AB62,AB$11:AB$333)+COUNTIF(AB$11:AB62,AB62)-1),(RANK(AB62,AB$11:AB$333,1)+COUNTIF(AB$11:AB62,AB62)-1)))</f>
        <v>40</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Lincolnshire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East Midlands</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21</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19</v>
      </c>
      <c r="G63" s="15"/>
      <c r="H63" s="41">
        <f t="shared" si="1"/>
        <v>19</v>
      </c>
      <c r="I63" s="73">
        <f>IF(H63="","",IF($I$8="A",(RANK(H63,H$11:H$333,1)+COUNTIF(H$11:H63,H63)-1),(RANK(H63,H$11:H$333)+COUNTIF(H$11:H63,H63)-1)))</f>
        <v>75</v>
      </c>
      <c r="J63" s="40"/>
      <c r="K63" s="35">
        <f t="shared" si="10"/>
        <v>53</v>
      </c>
      <c r="L63" t="str">
        <f t="shared" si="2"/>
        <v>Babergh</v>
      </c>
      <c r="M63" s="109">
        <f t="shared" si="3"/>
        <v>17</v>
      </c>
      <c r="N63" s="104">
        <f t="shared" si="31"/>
        <v>17</v>
      </c>
      <c r="O63" s="89" t="str">
        <f t="shared" si="32"/>
        <v/>
      </c>
      <c r="P63" s="89">
        <f t="shared" si="33"/>
        <v>17</v>
      </c>
      <c r="Q63" s="89" t="str">
        <f t="shared" si="34"/>
        <v/>
      </c>
      <c r="R63" s="85" t="str">
        <f t="shared" si="35"/>
        <v/>
      </c>
      <c r="S63" s="41" t="str">
        <f t="shared" si="36"/>
        <v>u</v>
      </c>
      <c r="T63" s="166" t="str">
        <f>IF(L63="","",VLOOKUP(L63,classifications!C:K,9,FALSE))</f>
        <v>Sparse</v>
      </c>
      <c r="U63" s="167">
        <f t="shared" si="37"/>
        <v>17</v>
      </c>
      <c r="V63" s="173">
        <f>IF(U63="","",IF($I$8="A",(RANK(U63,U$11:U$333)+COUNTIF(U$11:U63,U63)-1),(RANK(U63,U$11:U$333,1)+COUNTIF(U$11:U63,U63)-1)))</f>
        <v>28</v>
      </c>
      <c r="W63" s="174"/>
      <c r="X63" s="5" t="str">
        <f>IF(L63="","",VLOOKUP($L63,classifications!$C:$J,6,FALSE))</f>
        <v xml:space="preserve">Predominantly Rural </v>
      </c>
      <c r="Y63">
        <f t="shared" si="38"/>
        <v>17</v>
      </c>
      <c r="Z63" s="39">
        <f>IF(Y63="","",IF(I$8="A",(RANK(Y63,Y$11:Y$333,1)+COUNTIF(Y$11:Y63,Y63)-1),(RANK(Y63,Y$11:Y$333)+COUNTIF(Y$11:Y63,Y63)-1)))</f>
        <v>21</v>
      </c>
      <c r="AA63" s="177" t="str">
        <f>IF(L63="","",VLOOKUP($L63,classifications!C:I,7,FALSE))</f>
        <v>Predominantly Rural</v>
      </c>
      <c r="AB63" s="173">
        <f t="shared" si="39"/>
        <v>17</v>
      </c>
      <c r="AC63" s="173">
        <f>IF(AB63="","",IF($I$8="A",(RANK(AB63,AB$11:AB$333)+COUNTIF(AB$11:AB63,AB63)-1),(RANK(AB63,AB$11:AB$333,1)+COUNTIF(AB$11:AB63,AB63)-1)))</f>
        <v>37</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Suffolk</v>
      </c>
      <c r="AJ63" s="42">
        <f t="shared" si="41"/>
        <v>17</v>
      </c>
      <c r="AK63" s="39">
        <f>IF(AJ63="","",IF(I$8="A",(RANK(AJ63,AJ$11:AJ$333,1)+COUNTIF(AJ$11:AJ63,AJ63)-1),(RANK(AJ63,AJ$11:AJ$333)+COUNTIF(AJ$11:AJ63,AJ63)-1)))</f>
        <v>1</v>
      </c>
      <c r="AL63" s="3" t="str">
        <f t="shared" si="16"/>
        <v/>
      </c>
      <c r="AM63" t="str">
        <f t="shared" si="6"/>
        <v/>
      </c>
      <c r="AN63" t="str">
        <f t="shared" si="7"/>
        <v/>
      </c>
      <c r="AP63" s="5" t="str">
        <f>IF(L63="","",VLOOKUP($L63,classifications!$C:$E,3,FALSE))</f>
        <v>East of England</v>
      </c>
      <c r="AQ63" s="42">
        <f t="shared" si="42"/>
        <v>17</v>
      </c>
      <c r="AR63" s="39">
        <f>IF(AQ63="","",IF(I$8="A",(RANK(AQ63,AQ$11:AQ$333,1)+COUNTIF(AQ$11:AQ63,AQ63)-1),(RANK(AQ63,AQ$11:AQ$333)+COUNTIF(AQ$11:AQ63,AQ63)-1)))</f>
        <v>15</v>
      </c>
      <c r="AS63" s="3" t="str">
        <f t="shared" si="18"/>
        <v/>
      </c>
      <c r="AT63" s="39" t="str">
        <f t="shared" si="8"/>
        <v/>
      </c>
      <c r="AU63" s="42" t="str">
        <f t="shared" si="9"/>
        <v/>
      </c>
      <c r="AX63">
        <f>HLOOKUP($AX$9&amp;$AX$10,Data!$A$1:$ZT$1975,(MATCH($C63,Data!$A$1:$A$1975,0)),FALSE)</f>
        <v>19</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14</v>
      </c>
      <c r="G64" s="15"/>
      <c r="H64" s="41" t="str">
        <f t="shared" si="1"/>
        <v/>
      </c>
      <c r="I64" s="73" t="str">
        <f>IF(H64="","",IF($I$8="A",(RANK(H64,H$11:H$333,1)+COUNTIF(H$11:H64,H64)-1),(RANK(H64,H$11:H$333)+COUNTIF(H$11:H64,H64)-1)))</f>
        <v/>
      </c>
      <c r="J64" s="40"/>
      <c r="K64" s="35">
        <f t="shared" si="10"/>
        <v>54</v>
      </c>
      <c r="L64" t="str">
        <f t="shared" si="2"/>
        <v>Brentwood</v>
      </c>
      <c r="M64" s="109">
        <f t="shared" si="3"/>
        <v>17</v>
      </c>
      <c r="N64" s="104">
        <f t="shared" si="31"/>
        <v>17</v>
      </c>
      <c r="O64" s="89" t="str">
        <f t="shared" si="32"/>
        <v/>
      </c>
      <c r="P64" s="89">
        <f t="shared" si="33"/>
        <v>17</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Urban with Significant Rural</v>
      </c>
      <c r="Y64" t="str">
        <f t="shared" si="38"/>
        <v/>
      </c>
      <c r="Z64" s="39" t="str">
        <f>IF(Y64="","",IF(I$8="A",(RANK(Y64,Y$11:Y$333,1)+COUNTIF(Y$11:Y64,Y64)-1),(RANK(Y64,Y$11:Y$333)+COUNTIF(Y$11:Y64,Y64)-1)))</f>
        <v/>
      </c>
      <c r="AA64" s="177" t="str">
        <f>IF(L64="","",VLOOKUP($L64,classifications!C:I,7,FALSE))</f>
        <v>Urban with Significant Rural</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Essex</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East of England</v>
      </c>
      <c r="AQ64" s="42">
        <f t="shared" si="42"/>
        <v>17</v>
      </c>
      <c r="AR64" s="39">
        <f>IF(AQ64="","",IF(I$8="A",(RANK(AQ64,AQ$11:AQ$333,1)+COUNTIF(AQ$11:AQ64,AQ64)-1),(RANK(AQ64,AQ$11:AQ$333)+COUNTIF(AQ$11:AQ64,AQ64)-1)))</f>
        <v>16</v>
      </c>
      <c r="AS64" s="3" t="str">
        <f t="shared" si="18"/>
        <v/>
      </c>
      <c r="AT64" s="39" t="str">
        <f t="shared" si="8"/>
        <v/>
      </c>
      <c r="AU64" s="42" t="str">
        <f t="shared" si="9"/>
        <v/>
      </c>
      <c r="AX64">
        <f>HLOOKUP($AX$9&amp;$AX$10,Data!$A$1:$ZT$1975,(MATCH($C64,Data!$A$1:$A$1975,0)),FALSE)</f>
        <v>14</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27</v>
      </c>
      <c r="G65" s="15"/>
      <c r="H65" s="41" t="str">
        <f t="shared" si="1"/>
        <v/>
      </c>
      <c r="I65" s="73" t="str">
        <f>IF(H65="","",IF($I$8="A",(RANK(H65,H$11:H$333,1)+COUNTIF(H$11:H65,H65)-1),(RANK(H65,H$11:H$333)+COUNTIF(H$11:H65,H65)-1)))</f>
        <v/>
      </c>
      <c r="J65" s="40"/>
      <c r="K65" s="35">
        <f t="shared" si="10"/>
        <v>55</v>
      </c>
      <c r="L65" t="str">
        <f t="shared" si="2"/>
        <v>Epping Forest</v>
      </c>
      <c r="M65" s="109">
        <f t="shared" si="3"/>
        <v>17</v>
      </c>
      <c r="N65" s="104">
        <f t="shared" si="31"/>
        <v>17</v>
      </c>
      <c r="O65" s="89" t="str">
        <f t="shared" si="32"/>
        <v/>
      </c>
      <c r="P65" s="89">
        <f t="shared" si="33"/>
        <v>17</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Urban with Significant Rural</v>
      </c>
      <c r="Y65" t="str">
        <f t="shared" si="38"/>
        <v/>
      </c>
      <c r="Z65" s="39" t="str">
        <f>IF(Y65="","",IF(I$8="A",(RANK(Y65,Y$11:Y$333,1)+COUNTIF(Y$11:Y65,Y65)-1),(RANK(Y65,Y$11:Y$333)+COUNTIF(Y$11:Y65,Y65)-1)))</f>
        <v/>
      </c>
      <c r="AA65" s="177" t="str">
        <f>IF(L65="","",VLOOKUP($L65,classifications!C:I,7,FALSE))</f>
        <v>Urban with Significant Rural</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Essex</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East of England</v>
      </c>
      <c r="AQ65" s="42">
        <f t="shared" si="42"/>
        <v>17</v>
      </c>
      <c r="AR65" s="39">
        <f>IF(AQ65="","",IF(I$8="A",(RANK(AQ65,AQ$11:AQ$333,1)+COUNTIF(AQ$11:AQ65,AQ65)-1),(RANK(AQ65,AQ$11:AQ$333)+COUNTIF(AQ$11:AQ65,AQ65)-1)))</f>
        <v>17</v>
      </c>
      <c r="AS65" s="3" t="str">
        <f t="shared" si="18"/>
        <v/>
      </c>
      <c r="AT65" s="39" t="str">
        <f t="shared" si="8"/>
        <v/>
      </c>
      <c r="AU65" s="42" t="str">
        <f t="shared" si="9"/>
        <v/>
      </c>
      <c r="AX65">
        <f>HLOOKUP($AX$9&amp;$AX$10,Data!$A$1:$ZT$1975,(MATCH($C65,Data!$A$1:$A$1975,0)),FALSE)</f>
        <v>27</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21</v>
      </c>
      <c r="G66" s="15"/>
      <c r="H66" s="41">
        <f t="shared" si="1"/>
        <v>21</v>
      </c>
      <c r="I66" s="73">
        <f>IF(H66="","",IF($I$8="A",(RANK(H66,H$11:H$333,1)+COUNTIF(H$11:H66,H66)-1),(RANK(H66,H$11:H$333)+COUNTIF(H$11:H66,H66)-1)))</f>
        <v>94</v>
      </c>
      <c r="J66" s="40"/>
      <c r="K66" s="35">
        <f t="shared" si="10"/>
        <v>56</v>
      </c>
      <c r="L66" t="str">
        <f t="shared" si="2"/>
        <v>Epsom &amp; Ewell</v>
      </c>
      <c r="M66" s="109">
        <f t="shared" si="3"/>
        <v>17</v>
      </c>
      <c r="N66" s="104">
        <f t="shared" si="31"/>
        <v>17</v>
      </c>
      <c r="O66" s="89" t="str">
        <f t="shared" si="32"/>
        <v/>
      </c>
      <c r="P66" s="89">
        <f t="shared" si="33"/>
        <v>17</v>
      </c>
      <c r="Q66" s="89" t="str">
        <f t="shared" si="34"/>
        <v/>
      </c>
      <c r="R66" s="85" t="str">
        <f t="shared" si="35"/>
        <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Surrey</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South East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21</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20</v>
      </c>
      <c r="G67" s="15"/>
      <c r="H67" s="41">
        <f t="shared" si="1"/>
        <v>20</v>
      </c>
      <c r="I67" s="73">
        <f>IF(H67="","",IF($I$8="A",(RANK(H67,H$11:H$333,1)+COUNTIF(H$11:H67,H67)-1),(RANK(H67,H$11:H$333)+COUNTIF(H$11:H67,H67)-1)))</f>
        <v>86</v>
      </c>
      <c r="J67" s="40"/>
      <c r="K67" s="35">
        <f t="shared" si="10"/>
        <v>57</v>
      </c>
      <c r="L67" t="str">
        <f t="shared" si="2"/>
        <v>Erewash</v>
      </c>
      <c r="M67" s="109">
        <f t="shared" si="3"/>
        <v>17</v>
      </c>
      <c r="N67" s="104">
        <f t="shared" si="31"/>
        <v>17</v>
      </c>
      <c r="O67" s="89" t="str">
        <f t="shared" si="32"/>
        <v/>
      </c>
      <c r="P67" s="89">
        <f t="shared" si="33"/>
        <v>17</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Derbyshire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20</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26</v>
      </c>
      <c r="G68" s="15"/>
      <c r="H68" s="41">
        <f t="shared" si="1"/>
        <v>26</v>
      </c>
      <c r="I68" s="73">
        <f>IF(H68="","",IF($I$8="A",(RANK(H68,H$11:H$333,1)+COUNTIF(H$11:H68,H68)-1),(RANK(H68,H$11:H$333)+COUNTIF(H$11:H68,H68)-1)))</f>
        <v>138</v>
      </c>
      <c r="J68" s="40"/>
      <c r="K68" s="35">
        <f t="shared" si="10"/>
        <v>58</v>
      </c>
      <c r="L68" t="str">
        <f t="shared" si="2"/>
        <v>Rugby</v>
      </c>
      <c r="M68" s="109">
        <f t="shared" si="3"/>
        <v>17</v>
      </c>
      <c r="N68" s="104">
        <f t="shared" si="31"/>
        <v>17</v>
      </c>
      <c r="O68" s="89" t="str">
        <f t="shared" si="32"/>
        <v/>
      </c>
      <c r="P68" s="89">
        <f t="shared" si="33"/>
        <v>17</v>
      </c>
      <c r="Q68" s="89" t="str">
        <f t="shared" si="34"/>
        <v/>
      </c>
      <c r="R68" s="85" t="str">
        <f t="shared" si="35"/>
        <v/>
      </c>
      <c r="S68" s="41" t="str">
        <f t="shared" si="36"/>
        <v/>
      </c>
      <c r="T68" s="166" t="str">
        <f>IF(L68="","",VLOOKUP(L68,classifications!C:K,9,FALSE))</f>
        <v>Sparse</v>
      </c>
      <c r="U68" s="167">
        <f t="shared" si="37"/>
        <v>17</v>
      </c>
      <c r="V68" s="173">
        <f>IF(U68="","",IF($I$8="A",(RANK(U68,U$11:U$333)+COUNTIF(U$11:U68,U68)-1),(RANK(U68,U$11:U$333,1)+COUNTIF(U$11:U68,U68)-1)))</f>
        <v>29</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Warwickshire</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West Midlands</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26</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23</v>
      </c>
      <c r="G69" s="15"/>
      <c r="H69" s="41" t="str">
        <f t="shared" si="1"/>
        <v/>
      </c>
      <c r="I69" s="73" t="str">
        <f>IF(H69="","",IF($I$8="A",(RANK(H69,H$11:H$333,1)+COUNTIF(H$11:H69,H69)-1),(RANK(H69,H$11:H$333)+COUNTIF(H$11:H69,H69)-1)))</f>
        <v/>
      </c>
      <c r="J69" s="40"/>
      <c r="K69" s="35">
        <f t="shared" si="10"/>
        <v>59</v>
      </c>
      <c r="L69" t="str">
        <f t="shared" si="2"/>
        <v>Tonbridge &amp; Malling</v>
      </c>
      <c r="M69" s="109">
        <f t="shared" si="3"/>
        <v>17</v>
      </c>
      <c r="N69" s="104">
        <f t="shared" si="31"/>
        <v>17</v>
      </c>
      <c r="O69" s="89" t="str">
        <f t="shared" si="32"/>
        <v/>
      </c>
      <c r="P69" s="89">
        <f t="shared" si="33"/>
        <v>17</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Urban with Significant Rural</v>
      </c>
      <c r="Y69" t="str">
        <f t="shared" si="38"/>
        <v/>
      </c>
      <c r="Z69" s="39" t="str">
        <f>IF(Y69="","",IF(I$8="A",(RANK(Y69,Y$11:Y$333,1)+COUNTIF(Y$11:Y69,Y69)-1),(RANK(Y69,Y$11:Y$333)+COUNTIF(Y$11:Y69,Y69)-1)))</f>
        <v/>
      </c>
      <c r="AA69" s="177" t="str">
        <f>IF(L69="","",VLOOKUP($L69,classifications!C:I,7,FALSE))</f>
        <v>Urban with Significant Rural</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Kent</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South East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23</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14</v>
      </c>
      <c r="G70" s="15"/>
      <c r="H70" s="41">
        <f t="shared" si="1"/>
        <v>14</v>
      </c>
      <c r="I70" s="73">
        <f>IF(H70="","",IF($I$8="A",(RANK(H70,H$11:H$333,1)+COUNTIF(H$11:H70,H70)-1),(RANK(H70,H$11:H$333)+COUNTIF(H$11:H70,H70)-1)))</f>
        <v>32</v>
      </c>
      <c r="J70" s="40"/>
      <c r="K70" s="35">
        <f t="shared" si="10"/>
        <v>60</v>
      </c>
      <c r="L70" t="str">
        <f t="shared" si="2"/>
        <v>Waverley</v>
      </c>
      <c r="M70" s="109">
        <f t="shared" si="3"/>
        <v>17</v>
      </c>
      <c r="N70" s="104">
        <f t="shared" si="31"/>
        <v>17</v>
      </c>
      <c r="O70" s="89" t="str">
        <f t="shared" si="32"/>
        <v/>
      </c>
      <c r="P70" s="89">
        <f t="shared" si="33"/>
        <v>17</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 xml:space="preserve">Predominantly Rural </v>
      </c>
      <c r="Y70">
        <f t="shared" si="38"/>
        <v>17</v>
      </c>
      <c r="Z70" s="39">
        <f>IF(Y70="","",IF(I$8="A",(RANK(Y70,Y$11:Y$333,1)+COUNTIF(Y$11:Y70,Y70)-1),(RANK(Y70,Y$11:Y$333)+COUNTIF(Y$11:Y70,Y70)-1)))</f>
        <v>22</v>
      </c>
      <c r="AA70" s="177" t="str">
        <f>IF(L70="","",VLOOKUP($L70,classifications!C:I,7,FALSE))</f>
        <v>Predominantly Rural</v>
      </c>
      <c r="AB70" s="173">
        <f t="shared" si="39"/>
        <v>17</v>
      </c>
      <c r="AC70" s="173">
        <f>IF(AB70="","",IF($I$8="A",(RANK(AB70,AB$11:AB$333)+COUNTIF(AB$11:AB70,AB70)-1),(RANK(AB70,AB$11:AB$333,1)+COUNTIF(AB$11:AB70,AB70)-1)))</f>
        <v>38</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Surrey</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14</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19</v>
      </c>
      <c r="G71" s="15"/>
      <c r="H71" s="41" t="str">
        <f t="shared" si="1"/>
        <v/>
      </c>
      <c r="I71" s="73" t="str">
        <f>IF(H71="","",IF($I$8="A",(RANK(H71,H$11:H$333,1)+COUNTIF(H$11:H71,H71)-1),(RANK(H71,H$11:H$333)+COUNTIF(H$11:H71,H71)-1)))</f>
        <v/>
      </c>
      <c r="J71" s="40"/>
      <c r="K71" s="35">
        <f t="shared" si="10"/>
        <v>61</v>
      </c>
      <c r="L71" t="str">
        <f t="shared" si="2"/>
        <v>Woking</v>
      </c>
      <c r="M71" s="109">
        <f t="shared" si="3"/>
        <v>17</v>
      </c>
      <c r="N71" s="104">
        <f t="shared" si="31"/>
        <v>17</v>
      </c>
      <c r="O71" s="89" t="str">
        <f t="shared" si="32"/>
        <v/>
      </c>
      <c r="P71" s="89">
        <f t="shared" si="33"/>
        <v>17</v>
      </c>
      <c r="Q71" s="89" t="str">
        <f t="shared" si="34"/>
        <v/>
      </c>
      <c r="R71" s="85" t="str">
        <f t="shared" si="35"/>
        <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Surrey</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19</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30</v>
      </c>
      <c r="G72" s="15"/>
      <c r="H72" s="41">
        <f t="shared" si="1"/>
        <v>30</v>
      </c>
      <c r="I72" s="73">
        <f>IF(H72="","",IF($I$8="A",(RANK(H72,H$11:H$333,1)+COUNTIF(H$11:H72,H72)-1),(RANK(H72,H$11:H$333)+COUNTIF(H$11:H72,H72)-1)))</f>
        <v>150</v>
      </c>
      <c r="J72" s="40"/>
      <c r="K72" s="35">
        <f t="shared" si="10"/>
        <v>62</v>
      </c>
      <c r="L72" t="str">
        <f t="shared" si="2"/>
        <v>Castle Point</v>
      </c>
      <c r="M72" s="109">
        <f t="shared" si="3"/>
        <v>18</v>
      </c>
      <c r="N72" s="104">
        <f t="shared" si="31"/>
        <v>18</v>
      </c>
      <c r="O72" s="89" t="str">
        <f t="shared" si="32"/>
        <v/>
      </c>
      <c r="P72" s="89">
        <f t="shared" si="33"/>
        <v>18</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Essex</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East of England</v>
      </c>
      <c r="AQ72" s="42">
        <f t="shared" si="42"/>
        <v>18</v>
      </c>
      <c r="AR72" s="39">
        <f>IF(AQ72="","",IF(I$8="A",(RANK(AQ72,AQ$11:AQ$333,1)+COUNTIF(AQ$11:AQ72,AQ72)-1),(RANK(AQ72,AQ$11:AQ$333)+COUNTIF(AQ$11:AQ72,AQ72)-1)))</f>
        <v>18</v>
      </c>
      <c r="AS72" s="3" t="str">
        <f t="shared" si="18"/>
        <v/>
      </c>
      <c r="AT72" s="39" t="str">
        <f t="shared" si="8"/>
        <v/>
      </c>
      <c r="AU72" s="42" t="str">
        <f t="shared" si="9"/>
        <v/>
      </c>
      <c r="AX72">
        <f>HLOOKUP($AX$9&amp;$AX$10,Data!$A$1:$ZT$1975,(MATCH($C72,Data!$A$1:$A$1975,0)),FALSE)</f>
        <v>30</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31</v>
      </c>
      <c r="G73" s="15"/>
      <c r="H73" s="41" t="str">
        <f t="shared" si="1"/>
        <v/>
      </c>
      <c r="I73" s="73" t="str">
        <f>IF(H73="","",IF($I$8="A",(RANK(H73,H$11:H$333,1)+COUNTIF(H$11:H73,H73)-1),(RANK(H73,H$11:H$333)+COUNTIF(H$11:H73,H73)-1)))</f>
        <v/>
      </c>
      <c r="J73" s="40"/>
      <c r="K73" s="35">
        <f t="shared" si="10"/>
        <v>63</v>
      </c>
      <c r="L73" t="str">
        <f t="shared" si="2"/>
        <v>East Staffordshire</v>
      </c>
      <c r="M73" s="109">
        <f t="shared" si="3"/>
        <v>18</v>
      </c>
      <c r="N73" s="104">
        <f t="shared" si="31"/>
        <v>18</v>
      </c>
      <c r="O73" s="89" t="str">
        <f t="shared" si="32"/>
        <v/>
      </c>
      <c r="P73" s="89">
        <f t="shared" si="33"/>
        <v>18</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Urban with Significant Rural</v>
      </c>
      <c r="Y73" t="str">
        <f t="shared" si="38"/>
        <v/>
      </c>
      <c r="Z73" s="39" t="str">
        <f>IF(Y73="","",IF(I$8="A",(RANK(Y73,Y$11:Y$333,1)+COUNTIF(Y$11:Y73,Y73)-1),(RANK(Y73,Y$11:Y$333)+COUNTIF(Y$11:Y73,Y73)-1)))</f>
        <v/>
      </c>
      <c r="AA73" s="177" t="str">
        <f>IF(L73="","",VLOOKUP($L73,classifications!C:I,7,FALSE))</f>
        <v>Urban with Significant Rural</v>
      </c>
      <c r="AB73" s="173" t="str">
        <f t="shared" si="39"/>
        <v/>
      </c>
      <c r="AC73" s="173" t="str">
        <f>IF(AB73="","",IF($I$8="A",(RANK(AB73,AB$11:AB$333)+COUNTIF(AB$11:AB73,AB73)-1),(RANK(AB73,AB$11:AB$333,1)+COUNTIF(AB$11:AB73,AB73)-1)))</f>
        <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Staffordshire</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West Midlands</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31</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22</v>
      </c>
      <c r="G74" s="15"/>
      <c r="H74" s="41">
        <f t="shared" si="1"/>
        <v>22</v>
      </c>
      <c r="I74" s="73">
        <f>IF(H74="","",IF($I$8="A",(RANK(H74,H$11:H$333,1)+COUNTIF(H$11:H74,H74)-1),(RANK(H74,H$11:H$333)+COUNTIF(H$11:H74,H74)-1)))</f>
        <v>101</v>
      </c>
      <c r="J74" s="40"/>
      <c r="K74" s="35">
        <f t="shared" si="10"/>
        <v>64</v>
      </c>
      <c r="L74" t="str">
        <f t="shared" si="2"/>
        <v>Gravesham</v>
      </c>
      <c r="M74" s="109">
        <f t="shared" si="3"/>
        <v>18</v>
      </c>
      <c r="N74" s="104">
        <f t="shared" si="31"/>
        <v>18</v>
      </c>
      <c r="O74" s="89" t="str">
        <f t="shared" si="32"/>
        <v/>
      </c>
      <c r="P74" s="89">
        <f t="shared" si="33"/>
        <v>18</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Predominantly Urban</v>
      </c>
      <c r="Y74" t="str">
        <f t="shared" si="38"/>
        <v/>
      </c>
      <c r="Z74" s="39" t="str">
        <f>IF(Y74="","",IF(I$8="A",(RANK(Y74,Y$11:Y$333,1)+COUNTIF(Y$11:Y74,Y74)-1),(RANK(Y74,Y$11:Y$333)+COUNTIF(Y$11:Y74,Y74)-1)))</f>
        <v/>
      </c>
      <c r="AA74" s="177" t="str">
        <f>IF(L74="","",VLOOKUP($L74,classifications!C:I,7,FALSE))</f>
        <v>Predominantly Urban</v>
      </c>
      <c r="AB74" s="173" t="str">
        <f t="shared" si="39"/>
        <v/>
      </c>
      <c r="AC74" s="173" t="str">
        <f>IF(AB74="","",IF($I$8="A",(RANK(AB74,AB$11:AB$333)+COUNTIF(AB$11:AB74,AB74)-1),(RANK(AB74,AB$11:AB$333,1)+COUNTIF(AB$11:AB74,AB74)-1)))</f>
        <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Kent</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22</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48</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Hastings</v>
      </c>
      <c r="M75" s="109">
        <f t="shared" ref="M75:M138" si="46">IF(L75="","",IF(VLOOKUP(L75,C:D,2,FALSE)=$F$3,VLOOKUP(L75,C:H,6,FALSE),""))</f>
        <v>18</v>
      </c>
      <c r="N75" s="104">
        <f t="shared" si="31"/>
        <v>18</v>
      </c>
      <c r="O75" s="89" t="str">
        <f t="shared" si="32"/>
        <v/>
      </c>
      <c r="P75" s="89">
        <f t="shared" si="33"/>
        <v>18</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Predominantly Urban</v>
      </c>
      <c r="Y75" t="str">
        <f t="shared" si="38"/>
        <v/>
      </c>
      <c r="Z75" s="39" t="str">
        <f>IF(Y75="","",IF(I$8="A",(RANK(Y75,Y$11:Y$333,1)+COUNTIF(Y$11:Y75,Y75)-1),(RANK(Y75,Y$11:Y$333)+COUNTIF(Y$11:Y75,Y75)-1)))</f>
        <v/>
      </c>
      <c r="AA75" s="177" t="str">
        <f>IF(L75="","",VLOOKUP($L75,classifications!C:I,7,FALSE))</f>
        <v>Predominantly Urban</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East Sussex</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East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48</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27</v>
      </c>
      <c r="G76" s="15"/>
      <c r="H76" s="41">
        <f t="shared" si="44"/>
        <v>27</v>
      </c>
      <c r="I76" s="73">
        <f>IF(H76="","",IF($I$8="A",(RANK(H76,H$11:H$333,1)+COUNTIF(H$11:H76,H76)-1),(RANK(H76,H$11:H$333)+COUNTIF(H$11:H76,H76)-1)))</f>
        <v>142</v>
      </c>
      <c r="J76" s="40"/>
      <c r="K76" s="35">
        <f t="shared" ref="K76:K139" si="51">IF(K75="","",IF(K75+1&gt;(COUNT(H$11:H$333)),"",K75+1))</f>
        <v>66</v>
      </c>
      <c r="L76" t="str">
        <f t="shared" si="45"/>
        <v>Maidstone</v>
      </c>
      <c r="M76" s="109">
        <f t="shared" si="46"/>
        <v>18</v>
      </c>
      <c r="N76" s="104">
        <f t="shared" si="31"/>
        <v>18</v>
      </c>
      <c r="O76" s="89" t="str">
        <f t="shared" si="32"/>
        <v/>
      </c>
      <c r="P76" s="89">
        <f t="shared" si="33"/>
        <v>18</v>
      </c>
      <c r="Q76" s="89" t="str">
        <f t="shared" si="34"/>
        <v/>
      </c>
      <c r="R76" s="85" t="str">
        <f t="shared" si="35"/>
        <v/>
      </c>
      <c r="S76" s="41" t="str">
        <f t="shared" si="36"/>
        <v/>
      </c>
      <c r="T76" s="166">
        <f>IF(L76="","",VLOOKUP(L76,classifications!C:K,9,FALSE))</f>
        <v>0</v>
      </c>
      <c r="U76" s="167" t="str">
        <f t="shared" si="37"/>
        <v/>
      </c>
      <c r="V76" s="173" t="str">
        <f>IF(U76="","",IF($I$8="A",(RANK(U76,U$11:U$333)+COUNTIF(U$11:U76,U76)-1),(RANK(U76,U$11:U$333,1)+COUNTIF(U$11:U76,U76)-1)))</f>
        <v/>
      </c>
      <c r="W76" s="174"/>
      <c r="X76" s="5" t="str">
        <f>IF(L76="","",VLOOKUP($L76,classifications!$C:$J,6,FALSE))</f>
        <v>Urban with Significant Rural</v>
      </c>
      <c r="Y76" t="str">
        <f t="shared" si="38"/>
        <v/>
      </c>
      <c r="Z76" s="39" t="str">
        <f>IF(Y76="","",IF(I$8="A",(RANK(Y76,Y$11:Y$333,1)+COUNTIF(Y$11:Y76,Y76)-1),(RANK(Y76,Y$11:Y$333)+COUNTIF(Y$11:Y76,Y76)-1)))</f>
        <v/>
      </c>
      <c r="AA76" s="177" t="str">
        <f>IF(L76="","",VLOOKUP($L76,classifications!C:I,7,FALSE))</f>
        <v>Urban with Significant Rural</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Kent</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South East</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27</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25</v>
      </c>
      <c r="G77" s="15"/>
      <c r="H77" s="41" t="str">
        <f t="shared" si="44"/>
        <v/>
      </c>
      <c r="I77" s="73" t="str">
        <f>IF(H77="","",IF($I$8="A",(RANK(H77,H$11:H$333,1)+COUNTIF(H$11:H77,H77)-1),(RANK(H77,H$11:H$333)+COUNTIF(H$11:H77,H77)-1)))</f>
        <v/>
      </c>
      <c r="J77" s="40"/>
      <c r="K77" s="35">
        <f t="shared" si="51"/>
        <v>67</v>
      </c>
      <c r="L77" t="str">
        <f t="shared" si="45"/>
        <v>Mid Devon</v>
      </c>
      <c r="M77" s="109">
        <f t="shared" si="46"/>
        <v>18</v>
      </c>
      <c r="N77" s="104">
        <f t="shared" si="31"/>
        <v>18</v>
      </c>
      <c r="O77" s="89" t="str">
        <f t="shared" si="32"/>
        <v/>
      </c>
      <c r="P77" s="89">
        <f t="shared" si="33"/>
        <v>18</v>
      </c>
      <c r="Q77" s="89" t="str">
        <f t="shared" si="34"/>
        <v/>
      </c>
      <c r="R77" s="85" t="str">
        <f t="shared" si="35"/>
        <v/>
      </c>
      <c r="S77" s="41" t="str">
        <f t="shared" si="36"/>
        <v/>
      </c>
      <c r="T77" s="166" t="str">
        <f>IF(L77="","",VLOOKUP(L77,classifications!C:K,9,FALSE))</f>
        <v>Sparse</v>
      </c>
      <c r="U77" s="167">
        <f t="shared" si="37"/>
        <v>18</v>
      </c>
      <c r="V77" s="173">
        <f>IF(U77="","",IF($I$8="A",(RANK(U77,U$11:U$333)+COUNTIF(U$11:U77,U77)-1),(RANK(U77,U$11:U$333,1)+COUNTIF(U$11:U77,U77)-1)))</f>
        <v>25</v>
      </c>
      <c r="W77" s="174"/>
      <c r="X77" s="5" t="str">
        <f>IF(L77="","",VLOOKUP($L77,classifications!$C:$J,6,FALSE))</f>
        <v xml:space="preserve">Predominantly Rural </v>
      </c>
      <c r="Y77">
        <f t="shared" si="38"/>
        <v>18</v>
      </c>
      <c r="Z77" s="39">
        <f>IF(Y77="","",IF(I$8="A",(RANK(Y77,Y$11:Y$333,1)+COUNTIF(Y$11:Y77,Y77)-1),(RANK(Y77,Y$11:Y$333)+COUNTIF(Y$11:Y77,Y77)-1)))</f>
        <v>23</v>
      </c>
      <c r="AA77" s="177" t="str">
        <f>IF(L77="","",VLOOKUP($L77,classifications!C:I,7,FALSE))</f>
        <v>Predominantly Rural</v>
      </c>
      <c r="AB77" s="173">
        <f t="shared" si="39"/>
        <v>18</v>
      </c>
      <c r="AC77" s="173">
        <f>IF(AB77="","",IF($I$8="A",(RANK(AB77,AB$11:AB$333)+COUNTIF(AB$11:AB77,AB77)-1),(RANK(AB77,AB$11:AB$333,1)+COUNTIF(AB$11:AB77,AB77)-1)))</f>
        <v>34</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Devon</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South West</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25</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29</v>
      </c>
      <c r="G78" s="15"/>
      <c r="H78" s="41">
        <f t="shared" si="44"/>
        <v>29</v>
      </c>
      <c r="I78" s="73">
        <f>IF(H78="","",IF($I$8="A",(RANK(H78,H$11:H$333,1)+COUNTIF(H$11:H78,H78)-1),(RANK(H78,H$11:H$333)+COUNTIF(H$11:H78,H78)-1)))</f>
        <v>148</v>
      </c>
      <c r="J78" s="40"/>
      <c r="K78" s="35">
        <f t="shared" si="51"/>
        <v>68</v>
      </c>
      <c r="L78" t="str">
        <f t="shared" si="45"/>
        <v>Mid Suffolk</v>
      </c>
      <c r="M78" s="109">
        <f t="shared" si="46"/>
        <v>18</v>
      </c>
      <c r="N78" s="104">
        <f t="shared" si="31"/>
        <v>18</v>
      </c>
      <c r="O78" s="89" t="str">
        <f t="shared" si="32"/>
        <v/>
      </c>
      <c r="P78" s="89">
        <f t="shared" si="33"/>
        <v>18</v>
      </c>
      <c r="Q78" s="89" t="str">
        <f t="shared" si="34"/>
        <v/>
      </c>
      <c r="R78" s="85" t="str">
        <f t="shared" si="35"/>
        <v/>
      </c>
      <c r="S78" s="41" t="str">
        <f t="shared" si="36"/>
        <v/>
      </c>
      <c r="T78" s="166" t="str">
        <f>IF(L78="","",VLOOKUP(L78,classifications!C:K,9,FALSE))</f>
        <v>Sparse</v>
      </c>
      <c r="U78" s="167">
        <f t="shared" si="37"/>
        <v>18</v>
      </c>
      <c r="V78" s="173">
        <f>IF(U78="","",IF($I$8="A",(RANK(U78,U$11:U$333)+COUNTIF(U$11:U78,U78)-1),(RANK(U78,U$11:U$333,1)+COUNTIF(U$11:U78,U78)-1)))</f>
        <v>26</v>
      </c>
      <c r="W78" s="174"/>
      <c r="X78" s="5" t="str">
        <f>IF(L78="","",VLOOKUP($L78,classifications!$C:$J,6,FALSE))</f>
        <v xml:space="preserve">Predominantly Rural </v>
      </c>
      <c r="Y78">
        <f t="shared" si="38"/>
        <v>18</v>
      </c>
      <c r="Z78" s="39">
        <f>IF(Y78="","",IF(I$8="A",(RANK(Y78,Y$11:Y$333,1)+COUNTIF(Y$11:Y78,Y78)-1),(RANK(Y78,Y$11:Y$333)+COUNTIF(Y$11:Y78,Y78)-1)))</f>
        <v>24</v>
      </c>
      <c r="AA78" s="177" t="str">
        <f>IF(L78="","",VLOOKUP($L78,classifications!C:I,7,FALSE))</f>
        <v>Predominantly Rural</v>
      </c>
      <c r="AB78" s="173">
        <f t="shared" si="39"/>
        <v>18</v>
      </c>
      <c r="AC78" s="173">
        <f>IF(AB78="","",IF($I$8="A",(RANK(AB78,AB$11:AB$333)+COUNTIF(AB$11:AB78,AB78)-1),(RANK(AB78,AB$11:AB$333,1)+COUNTIF(AB$11:AB78,AB78)-1)))</f>
        <v>35</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Suffolk</v>
      </c>
      <c r="AJ78" s="42">
        <f t="shared" si="41"/>
        <v>18</v>
      </c>
      <c r="AK78" s="39">
        <f>IF(AJ78="","",IF(I$8="A",(RANK(AJ78,AJ$11:AJ$333,1)+COUNTIF(AJ$11:AJ78,AJ78)-1),(RANK(AJ78,AJ$11:AJ$333)+COUNTIF(AJ$11:AJ78,AJ78)-1)))</f>
        <v>2</v>
      </c>
      <c r="AL78" s="3" t="str">
        <f t="shared" si="53"/>
        <v/>
      </c>
      <c r="AM78" t="str">
        <f t="shared" si="47"/>
        <v/>
      </c>
      <c r="AN78" t="str">
        <f t="shared" si="48"/>
        <v/>
      </c>
      <c r="AP78" s="5" t="str">
        <f>IF(L78="","",VLOOKUP($L78,classifications!$C:$E,3,FALSE))</f>
        <v>East of England</v>
      </c>
      <c r="AQ78" s="42">
        <f t="shared" si="42"/>
        <v>18</v>
      </c>
      <c r="AR78" s="39">
        <f>IF(AQ78="","",IF(I$8="A",(RANK(AQ78,AQ$11:AQ$333,1)+COUNTIF(AQ$11:AQ78,AQ78)-1),(RANK(AQ78,AQ$11:AQ$333)+COUNTIF(AQ$11:AQ78,AQ78)-1)))</f>
        <v>19</v>
      </c>
      <c r="AS78" s="3" t="str">
        <f t="shared" si="54"/>
        <v/>
      </c>
      <c r="AT78" s="39" t="str">
        <f t="shared" si="49"/>
        <v/>
      </c>
      <c r="AU78" s="42" t="str">
        <f t="shared" si="50"/>
        <v/>
      </c>
      <c r="AX78">
        <f>HLOOKUP($AX$9&amp;$AX$10,Data!$A$1:$ZT$1975,(MATCH($C78,Data!$A$1:$A$1975,0)),FALSE)</f>
        <v>29</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29</v>
      </c>
      <c r="G79" s="15"/>
      <c r="H79" s="41" t="str">
        <f t="shared" si="44"/>
        <v/>
      </c>
      <c r="I79" s="73" t="str">
        <f>IF(H79="","",IF($I$8="A",(RANK(H79,H$11:H$333,1)+COUNTIF(H$11:H79,H79)-1),(RANK(H79,H$11:H$333)+COUNTIF(H$11:H79,H79)-1)))</f>
        <v/>
      </c>
      <c r="J79" s="40"/>
      <c r="K79" s="35">
        <f t="shared" si="51"/>
        <v>69</v>
      </c>
      <c r="L79" t="str">
        <f t="shared" si="45"/>
        <v>Mid Sussex</v>
      </c>
      <c r="M79" s="109">
        <f t="shared" si="46"/>
        <v>18</v>
      </c>
      <c r="N79" s="104">
        <f t="shared" si="31"/>
        <v>18</v>
      </c>
      <c r="O79" s="89" t="str">
        <f t="shared" si="32"/>
        <v/>
      </c>
      <c r="P79" s="89">
        <f t="shared" si="33"/>
        <v>18</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West Sussex</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South East</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29</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Nuneaton &amp; Bedworth</v>
      </c>
      <c r="M80" s="109">
        <f t="shared" si="46"/>
        <v>18</v>
      </c>
      <c r="N80" s="104">
        <f t="shared" si="31"/>
        <v>18</v>
      </c>
      <c r="O80" s="89" t="str">
        <f t="shared" si="32"/>
        <v/>
      </c>
      <c r="P80" s="89">
        <f t="shared" si="33"/>
        <v>18</v>
      </c>
      <c r="Q80" s="89" t="str">
        <f t="shared" si="34"/>
        <v/>
      </c>
      <c r="R80" s="85" t="str">
        <f t="shared" si="35"/>
        <v/>
      </c>
      <c r="S80" s="41" t="str">
        <f t="shared" si="36"/>
        <v/>
      </c>
      <c r="T80" s="166">
        <f>IF(L80="","",VLOOKUP(L80,classifications!C:K,9,FALSE))</f>
        <v>0</v>
      </c>
      <c r="U80" s="167" t="str">
        <f t="shared" si="37"/>
        <v/>
      </c>
      <c r="V80" s="173" t="str">
        <f>IF(U80="","",IF($I$8="A",(RANK(U80,U$11:U$333)+COUNTIF(U$11:U80,U80)-1),(RANK(U80,U$11:U$333,1)+COUNTIF(U$11:U80,U80)-1)))</f>
        <v/>
      </c>
      <c r="W80" s="174"/>
      <c r="X80" s="5" t="str">
        <f>IF(L80="","",VLOOKUP($L80,classifications!$C:$J,6,FALSE))</f>
        <v>Predominantly Urban</v>
      </c>
      <c r="Y80" t="str">
        <f t="shared" si="38"/>
        <v/>
      </c>
      <c r="Z80" s="39" t="str">
        <f>IF(Y80="","",IF(I$8="A",(RANK(Y80,Y$11:Y$333,1)+COUNTIF(Y$11:Y80,Y80)-1),(RANK(Y80,Y$11:Y$333)+COUNTIF(Y$11:Y80,Y80)-1)))</f>
        <v/>
      </c>
      <c r="AA80" s="177" t="str">
        <f>IF(L80="","",VLOOKUP($L80,classifications!C:I,7,FALSE))</f>
        <v>Predominantly Urban</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Warwickshire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West Midlands</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11</v>
      </c>
      <c r="G81" s="15"/>
      <c r="H81" s="41">
        <f t="shared" si="44"/>
        <v>11</v>
      </c>
      <c r="I81" s="73">
        <f>IF(H81="","",IF($I$8="A",(RANK(H81,H$11:H$333,1)+COUNTIF(H$11:H81,H81)-1),(RANK(H81,H$11:H$333)+COUNTIF(H$11:H81,H81)-1)))</f>
        <v>13</v>
      </c>
      <c r="J81" s="40"/>
      <c r="K81" s="35">
        <f t="shared" si="51"/>
        <v>71</v>
      </c>
      <c r="L81" t="str">
        <f t="shared" si="45"/>
        <v>South Staffordshire</v>
      </c>
      <c r="M81" s="109">
        <f t="shared" si="46"/>
        <v>18</v>
      </c>
      <c r="N81" s="104">
        <f t="shared" si="31"/>
        <v>18</v>
      </c>
      <c r="O81" s="89" t="str">
        <f t="shared" si="32"/>
        <v/>
      </c>
      <c r="P81" s="89">
        <f t="shared" si="33"/>
        <v>18</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Urban with Significant Rural</v>
      </c>
      <c r="Y81" t="str">
        <f t="shared" si="38"/>
        <v/>
      </c>
      <c r="Z81" s="39" t="str">
        <f>IF(Y81="","",IF(I$8="A",(RANK(Y81,Y$11:Y$333,1)+COUNTIF(Y$11:Y81,Y81)-1),(RANK(Y81,Y$11:Y$333)+COUNTIF(Y$11:Y81,Y81)-1)))</f>
        <v/>
      </c>
      <c r="AA81" s="177" t="str">
        <f>IF(L81="","",VLOOKUP($L81,classifications!C:I,7,FALSE))</f>
        <v>Urban with Significant Rural</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Staffordshire</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West Midlands</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11</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Uttlesford</v>
      </c>
      <c r="M82" s="109">
        <f t="shared" si="46"/>
        <v>18</v>
      </c>
      <c r="N82" s="104">
        <f t="shared" si="31"/>
        <v>18</v>
      </c>
      <c r="O82" s="89" t="str">
        <f t="shared" si="32"/>
        <v/>
      </c>
      <c r="P82" s="89">
        <f t="shared" si="33"/>
        <v>18</v>
      </c>
      <c r="Q82" s="89" t="str">
        <f t="shared" si="34"/>
        <v/>
      </c>
      <c r="R82" s="85" t="str">
        <f t="shared" si="35"/>
        <v/>
      </c>
      <c r="S82" s="41" t="str">
        <f t="shared" si="36"/>
        <v/>
      </c>
      <c r="T82" s="166" t="str">
        <f>IF(L82="","",VLOOKUP(L82,classifications!C:K,9,FALSE))</f>
        <v>Sparse</v>
      </c>
      <c r="U82" s="167">
        <f t="shared" si="37"/>
        <v>18</v>
      </c>
      <c r="V82" s="173">
        <f>IF(U82="","",IF($I$8="A",(RANK(U82,U$11:U$333)+COUNTIF(U$11:U82,U82)-1),(RANK(U82,U$11:U$333,1)+COUNTIF(U$11:U82,U82)-1)))</f>
        <v>27</v>
      </c>
      <c r="W82" s="174"/>
      <c r="X82" s="5" t="str">
        <f>IF(L82="","",VLOOKUP($L82,classifications!$C:$J,6,FALSE))</f>
        <v xml:space="preserve">Predominantly Rural </v>
      </c>
      <c r="Y82">
        <f t="shared" si="38"/>
        <v>18</v>
      </c>
      <c r="Z82" s="39">
        <f>IF(Y82="","",IF(I$8="A",(RANK(Y82,Y$11:Y$333,1)+COUNTIF(Y$11:Y82,Y82)-1),(RANK(Y82,Y$11:Y$333)+COUNTIF(Y$11:Y82,Y82)-1)))</f>
        <v>25</v>
      </c>
      <c r="AA82" s="177" t="str">
        <f>IF(L82="","",VLOOKUP($L82,classifications!C:I,7,FALSE))</f>
        <v>Predominantly Rural</v>
      </c>
      <c r="AB82" s="173">
        <f t="shared" si="39"/>
        <v>18</v>
      </c>
      <c r="AC82" s="173">
        <f>IF(AB82="","",IF($I$8="A",(RANK(AB82,AB$11:AB$333)+COUNTIF(AB$11:AB82,AB82)-1),(RANK(AB82,AB$11:AB$333,1)+COUNTIF(AB$11:AB82,AB82)-1)))</f>
        <v>36</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Essex</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East of England</v>
      </c>
      <c r="AQ82" s="42">
        <f t="shared" si="42"/>
        <v>18</v>
      </c>
      <c r="AR82" s="39">
        <f>IF(AQ82="","",IF(I$8="A",(RANK(AQ82,AQ$11:AQ$333,1)+COUNTIF(AQ$11:AQ82,AQ82)-1),(RANK(AQ82,AQ$11:AQ$333)+COUNTIF(AQ$11:AQ82,AQ82)-1)))</f>
        <v>20</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12</v>
      </c>
      <c r="G83" s="15"/>
      <c r="H83" s="41" t="str">
        <f t="shared" si="44"/>
        <v/>
      </c>
      <c r="I83" s="73" t="str">
        <f>IF(H83="","",IF($I$8="A",(RANK(H83,H$11:H$333,1)+COUNTIF(H$11:H83,H83)-1),(RANK(H83,H$11:H$333)+COUNTIF(H$11:H83,H83)-1)))</f>
        <v/>
      </c>
      <c r="J83" s="40"/>
      <c r="K83" s="35">
        <f t="shared" si="51"/>
        <v>73</v>
      </c>
      <c r="L83" t="str">
        <f t="shared" si="45"/>
        <v>Broxbourne</v>
      </c>
      <c r="M83" s="109">
        <f t="shared" si="46"/>
        <v>19</v>
      </c>
      <c r="N83" s="104">
        <f t="shared" si="31"/>
        <v>19</v>
      </c>
      <c r="O83" s="89" t="str">
        <f t="shared" si="32"/>
        <v/>
      </c>
      <c r="P83" s="89">
        <f t="shared" si="33"/>
        <v>19</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Predominantly Urban</v>
      </c>
      <c r="Y83" t="str">
        <f t="shared" si="38"/>
        <v/>
      </c>
      <c r="Z83" s="39" t="str">
        <f>IF(Y83="","",IF(I$8="A",(RANK(Y83,Y$11:Y$333,1)+COUNTIF(Y$11:Y83,Y83)-1),(RANK(Y83,Y$11:Y$333)+COUNTIF(Y$11:Y83,Y83)-1)))</f>
        <v/>
      </c>
      <c r="AA83" s="177" t="str">
        <f>IF(L83="","",VLOOKUP($L83,classifications!C:I,7,FALSE))</f>
        <v>Predominantly Urban</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Hertfordshire</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East of England</v>
      </c>
      <c r="AQ83" s="42">
        <f t="shared" si="42"/>
        <v>19</v>
      </c>
      <c r="AR83" s="39">
        <f>IF(AQ83="","",IF(I$8="A",(RANK(AQ83,AQ$11:AQ$333,1)+COUNTIF(AQ$11:AQ83,AQ83)-1),(RANK(AQ83,AQ$11:AQ$333)+COUNTIF(AQ$11:AQ83,AQ83)-1)))</f>
        <v>21</v>
      </c>
      <c r="AS83" s="3" t="str">
        <f t="shared" si="54"/>
        <v/>
      </c>
      <c r="AT83" s="39" t="str">
        <f t="shared" si="49"/>
        <v/>
      </c>
      <c r="AU83" s="42" t="str">
        <f t="shared" si="50"/>
        <v/>
      </c>
      <c r="AX83">
        <f>HLOOKUP($AX$9&amp;$AX$10,Data!$A$1:$ZT$1975,(MATCH($C83,Data!$A$1:$A$1975,0)),FALSE)</f>
        <v>12</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32</v>
      </c>
      <c r="G84" s="15"/>
      <c r="H84" s="41" t="str">
        <f t="shared" si="44"/>
        <v/>
      </c>
      <c r="I84" s="73" t="str">
        <f>IF(H84="","",IF($I$8="A",(RANK(H84,H$11:H$333,1)+COUNTIF(H$11:H84,H84)-1),(RANK(H84,H$11:H$333)+COUNTIF(H$11:H84,H84)-1)))</f>
        <v/>
      </c>
      <c r="J84" s="40"/>
      <c r="K84" s="35">
        <f t="shared" si="51"/>
        <v>74</v>
      </c>
      <c r="L84" t="str">
        <f t="shared" si="45"/>
        <v>Canterbury</v>
      </c>
      <c r="M84" s="109">
        <f t="shared" si="46"/>
        <v>19</v>
      </c>
      <c r="N84" s="104">
        <f t="shared" si="31"/>
        <v>19</v>
      </c>
      <c r="O84" s="89" t="str">
        <f t="shared" si="32"/>
        <v/>
      </c>
      <c r="P84" s="89">
        <f t="shared" si="33"/>
        <v>19</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Predominantly Urban</v>
      </c>
      <c r="Y84" t="str">
        <f t="shared" si="38"/>
        <v/>
      </c>
      <c r="Z84" s="39" t="str">
        <f>IF(Y84="","",IF(I$8="A",(RANK(Y84,Y$11:Y$333,1)+COUNTIF(Y$11:Y84,Y84)-1),(RANK(Y84,Y$11:Y$333)+COUNTIF(Y$11:Y84,Y84)-1)))</f>
        <v/>
      </c>
      <c r="AA84" s="177" t="str">
        <f>IF(L84="","",VLOOKUP($L84,classifications!C:I,7,FALSE))</f>
        <v>Predominantly Urban</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Kent</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East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32</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20</v>
      </c>
      <c r="G85" s="15"/>
      <c r="H85" s="41">
        <f t="shared" si="44"/>
        <v>20</v>
      </c>
      <c r="I85" s="73">
        <f>IF(H85="","",IF($I$8="A",(RANK(H85,H$11:H$333,1)+COUNTIF(H$11:H85,H85)-1),(RANK(H85,H$11:H$333)+COUNTIF(H$11:H85,H85)-1)))</f>
        <v>87</v>
      </c>
      <c r="J85" s="40"/>
      <c r="K85" s="35">
        <f t="shared" si="51"/>
        <v>75</v>
      </c>
      <c r="L85" t="str">
        <f t="shared" si="45"/>
        <v>Cherwell</v>
      </c>
      <c r="M85" s="109">
        <f t="shared" si="46"/>
        <v>19</v>
      </c>
      <c r="N85" s="104">
        <f t="shared" si="31"/>
        <v>19</v>
      </c>
      <c r="O85" s="89" t="str">
        <f t="shared" si="32"/>
        <v/>
      </c>
      <c r="P85" s="89">
        <f t="shared" si="33"/>
        <v>19</v>
      </c>
      <c r="Q85" s="89" t="str">
        <f t="shared" si="34"/>
        <v/>
      </c>
      <c r="R85" s="85" t="str">
        <f t="shared" si="35"/>
        <v/>
      </c>
      <c r="S85" s="41" t="str">
        <f t="shared" si="36"/>
        <v/>
      </c>
      <c r="T85" s="166">
        <f>IF(L85="","",VLOOKUP(L85,classifications!C:K,9,FALSE))</f>
        <v>0</v>
      </c>
      <c r="U85" s="167" t="str">
        <f t="shared" si="37"/>
        <v/>
      </c>
      <c r="V85" s="173" t="str">
        <f>IF(U85="","",IF($I$8="A",(RANK(U85,U$11:U$333)+COUNTIF(U$11:U85,U85)-1),(RANK(U85,U$11:U$333,1)+COUNTIF(U$11:U85,U85)-1)))</f>
        <v/>
      </c>
      <c r="W85" s="174"/>
      <c r="X85" s="5" t="str">
        <f>IF(L85="","",VLOOKUP($L85,classifications!$C:$J,6,FALSE))</f>
        <v>Urban with Significant Rural</v>
      </c>
      <c r="Y85" t="str">
        <f t="shared" si="38"/>
        <v/>
      </c>
      <c r="Z85" s="39" t="str">
        <f>IF(Y85="","",IF(I$8="A",(RANK(Y85,Y$11:Y$333,1)+COUNTIF(Y$11:Y85,Y85)-1),(RANK(Y85,Y$11:Y$333)+COUNTIF(Y$11:Y85,Y85)-1)))</f>
        <v/>
      </c>
      <c r="AA85" s="177" t="str">
        <f>IF(L85="","",VLOOKUP($L85,classifications!C:I,7,FALSE))</f>
        <v>Urban with Significant Rural</v>
      </c>
      <c r="AB85" s="173" t="str">
        <f t="shared" si="39"/>
        <v/>
      </c>
      <c r="AC85" s="173" t="str">
        <f>IF(AB85="","",IF($I$8="A",(RANK(AB85,AB$11:AB$333)+COUNTIF(AB$11:AB85,AB85)-1),(RANK(AB85,AB$11:AB$333,1)+COUNTIF(AB$11:AB85,AB85)-1)))</f>
        <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Oxfordshire</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South East</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20</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25</v>
      </c>
      <c r="G86" s="15"/>
      <c r="H86" s="41" t="str">
        <f t="shared" si="44"/>
        <v/>
      </c>
      <c r="I86" s="73" t="str">
        <f>IF(H86="","",IF($I$8="A",(RANK(H86,H$11:H$333,1)+COUNTIF(H$11:H86,H86)-1),(RANK(H86,H$11:H$333)+COUNTIF(H$11:H86,H86)-1)))</f>
        <v/>
      </c>
      <c r="J86" s="40"/>
      <c r="K86" s="35">
        <f t="shared" si="51"/>
        <v>76</v>
      </c>
      <c r="L86" t="str">
        <f t="shared" si="45"/>
        <v>Gedling</v>
      </c>
      <c r="M86" s="109">
        <f t="shared" si="46"/>
        <v>19</v>
      </c>
      <c r="N86" s="104">
        <f t="shared" si="31"/>
        <v>19</v>
      </c>
      <c r="O86" s="89" t="str">
        <f t="shared" si="32"/>
        <v/>
      </c>
      <c r="P86" s="89">
        <f t="shared" si="33"/>
        <v>19</v>
      </c>
      <c r="Q86" s="89" t="str">
        <f t="shared" si="34"/>
        <v/>
      </c>
      <c r="R86" s="85" t="str">
        <f t="shared" si="35"/>
        <v/>
      </c>
      <c r="S86" s="41" t="str">
        <f t="shared" si="36"/>
        <v/>
      </c>
      <c r="T86" s="166">
        <f>IF(L86="","",VLOOKUP(L86,classifications!C:K,9,FALSE))</f>
        <v>0</v>
      </c>
      <c r="U86" s="167" t="str">
        <f t="shared" si="37"/>
        <v/>
      </c>
      <c r="V86" s="173" t="str">
        <f>IF(U86="","",IF($I$8="A",(RANK(U86,U$11:U$333)+COUNTIF(U$11:U86,U86)-1),(RANK(U86,U$11:U$333,1)+COUNTIF(U$11:U86,U86)-1)))</f>
        <v/>
      </c>
      <c r="W86" s="174"/>
      <c r="X86" s="5" t="str">
        <f>IF(L86="","",VLOOKUP($L86,classifications!$C:$J,6,FALSE))</f>
        <v>Predominantly Urban</v>
      </c>
      <c r="Y86" t="str">
        <f t="shared" si="38"/>
        <v/>
      </c>
      <c r="Z86" s="39" t="str">
        <f>IF(Y86="","",IF(I$8="A",(RANK(Y86,Y$11:Y$333,1)+COUNTIF(Y$11:Y86,Y86)-1),(RANK(Y86,Y$11:Y$333)+COUNTIF(Y$11:Y86,Y86)-1)))</f>
        <v/>
      </c>
      <c r="AA86" s="177" t="str">
        <f>IF(L86="","",VLOOKUP($L86,classifications!C:I,7,FALSE))</f>
        <v>Predominantly Urban</v>
      </c>
      <c r="AB86" s="173" t="str">
        <f t="shared" si="39"/>
        <v/>
      </c>
      <c r="AC86" s="173" t="str">
        <f>IF(AB86="","",IF($I$8="A",(RANK(AB86,AB$11:AB$333)+COUNTIF(AB$11:AB86,AB86)-1),(RANK(AB86,AB$11:AB$333,1)+COUNTIF(AB$11:AB86,AB86)-1)))</f>
        <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Nottinghamshire</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Midlands</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25</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18</v>
      </c>
      <c r="G87" s="15"/>
      <c r="H87" s="41" t="str">
        <f t="shared" si="44"/>
        <v/>
      </c>
      <c r="I87" s="73" t="str">
        <f>IF(H87="","",IF($I$8="A",(RANK(H87,H$11:H$333,1)+COUNTIF(H$11:H87,H87)-1),(RANK(H87,H$11:H$333)+COUNTIF(H$11:H87,H87)-1)))</f>
        <v/>
      </c>
      <c r="J87" s="40"/>
      <c r="K87" s="35">
        <f t="shared" si="51"/>
        <v>77</v>
      </c>
      <c r="L87" t="str">
        <f t="shared" si="45"/>
        <v>Guildford</v>
      </c>
      <c r="M87" s="109">
        <f t="shared" si="46"/>
        <v>19</v>
      </c>
      <c r="N87" s="104">
        <f t="shared" si="31"/>
        <v>19</v>
      </c>
      <c r="O87" s="89" t="str">
        <f t="shared" si="32"/>
        <v/>
      </c>
      <c r="P87" s="89">
        <f t="shared" si="33"/>
        <v>19</v>
      </c>
      <c r="Q87" s="89" t="str">
        <f t="shared" si="34"/>
        <v/>
      </c>
      <c r="R87" s="85" t="str">
        <f t="shared" si="35"/>
        <v/>
      </c>
      <c r="S87" s="41" t="str">
        <f t="shared" si="36"/>
        <v/>
      </c>
      <c r="T87" s="166">
        <f>IF(L87="","",VLOOKUP(L87,classifications!C:K,9,FALSE))</f>
        <v>0</v>
      </c>
      <c r="U87" s="167" t="str">
        <f t="shared" si="37"/>
        <v/>
      </c>
      <c r="V87" s="173" t="str">
        <f>IF(U87="","",IF($I$8="A",(RANK(U87,U$11:U$333)+COUNTIF(U$11:U87,U87)-1),(RANK(U87,U$11:U$333,1)+COUNTIF(U$11:U87,U87)-1)))</f>
        <v/>
      </c>
      <c r="W87" s="174"/>
      <c r="X87" s="5" t="str">
        <f>IF(L87="","",VLOOKUP($L87,classifications!$C:$J,6,FALSE))</f>
        <v>Predominantly Urban</v>
      </c>
      <c r="Y87" t="str">
        <f t="shared" si="38"/>
        <v/>
      </c>
      <c r="Z87" s="39" t="str">
        <f>IF(Y87="","",IF(I$8="A",(RANK(Y87,Y$11:Y$333,1)+COUNTIF(Y$11:Y87,Y87)-1),(RANK(Y87,Y$11:Y$333)+COUNTIF(Y$11:Y87,Y87)-1)))</f>
        <v/>
      </c>
      <c r="AA87" s="177" t="str">
        <f>IF(L87="","",VLOOKUP($L87,classifications!C:I,7,FALSE))</f>
        <v>Predominantly Urban</v>
      </c>
      <c r="AB87" s="173" t="str">
        <f t="shared" si="39"/>
        <v/>
      </c>
      <c r="AC87" s="173" t="str">
        <f>IF(AB87="","",IF($I$8="A",(RANK(AB87,AB$11:AB$333)+COUNTIF(AB$11:AB87,AB87)-1),(RANK(AB87,AB$11:AB$333,1)+COUNTIF(AB$11:AB87,AB87)-1)))</f>
        <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Surrey</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South East</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18</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24</v>
      </c>
      <c r="G88" s="15"/>
      <c r="H88" s="41" t="str">
        <f t="shared" si="44"/>
        <v/>
      </c>
      <c r="I88" s="73" t="str">
        <f>IF(H88="","",IF($I$8="A",(RANK(H88,H$11:H$333,1)+COUNTIF(H$11:H88,H88)-1),(RANK(H88,H$11:H$333)+COUNTIF(H$11:H88,H88)-1)))</f>
        <v/>
      </c>
      <c r="J88" s="40"/>
      <c r="K88" s="35">
        <f t="shared" si="51"/>
        <v>78</v>
      </c>
      <c r="L88" t="str">
        <f t="shared" si="45"/>
        <v>Ipswich</v>
      </c>
      <c r="M88" s="109">
        <f t="shared" si="46"/>
        <v>19</v>
      </c>
      <c r="N88" s="104">
        <f t="shared" si="31"/>
        <v>19</v>
      </c>
      <c r="O88" s="89" t="str">
        <f t="shared" si="32"/>
        <v/>
      </c>
      <c r="P88" s="89">
        <f t="shared" si="33"/>
        <v>19</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Predominantly Urban</v>
      </c>
      <c r="Y88" t="str">
        <f t="shared" si="38"/>
        <v/>
      </c>
      <c r="Z88" s="39" t="str">
        <f>IF(Y88="","",IF(I$8="A",(RANK(Y88,Y$11:Y$333,1)+COUNTIF(Y$11:Y88,Y88)-1),(RANK(Y88,Y$11:Y$333)+COUNTIF(Y$11:Y88,Y88)-1)))</f>
        <v/>
      </c>
      <c r="AA88" s="177" t="str">
        <f>IF(L88="","",VLOOKUP($L88,classifications!C:I,7,FALSE))</f>
        <v>Predominantly Urban</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Suffolk</v>
      </c>
      <c r="AJ88" s="42">
        <f t="shared" si="41"/>
        <v>19</v>
      </c>
      <c r="AK88" s="39">
        <f>IF(AJ88="","",IF(I$8="A",(RANK(AJ88,AJ$11:AJ$333,1)+COUNTIF(AJ$11:AJ88,AJ88)-1),(RANK(AJ88,AJ$11:AJ$333)+COUNTIF(AJ$11:AJ88,AJ88)-1)))</f>
        <v>3</v>
      </c>
      <c r="AL88" s="3" t="str">
        <f t="shared" si="53"/>
        <v/>
      </c>
      <c r="AM88" t="str">
        <f t="shared" si="47"/>
        <v/>
      </c>
      <c r="AN88" t="str">
        <f t="shared" si="48"/>
        <v/>
      </c>
      <c r="AP88" s="5" t="str">
        <f>IF(L88="","",VLOOKUP($L88,classifications!$C:$E,3,FALSE))</f>
        <v>East of England</v>
      </c>
      <c r="AQ88" s="42">
        <f t="shared" si="42"/>
        <v>19</v>
      </c>
      <c r="AR88" s="39">
        <f>IF(AQ88="","",IF(I$8="A",(RANK(AQ88,AQ$11:AQ$333,1)+COUNTIF(AQ$11:AQ88,AQ88)-1),(RANK(AQ88,AQ$11:AQ$333)+COUNTIF(AQ$11:AQ88,AQ88)-1)))</f>
        <v>22</v>
      </c>
      <c r="AS88" s="3" t="str">
        <f t="shared" si="54"/>
        <v/>
      </c>
      <c r="AT88" s="39" t="str">
        <f t="shared" si="49"/>
        <v/>
      </c>
      <c r="AU88" s="42" t="str">
        <f t="shared" si="50"/>
        <v/>
      </c>
      <c r="AX88">
        <f>HLOOKUP($AX$9&amp;$AX$10,Data!$A$1:$ZT$1975,(MATCH($C88,Data!$A$1:$A$1975,0)),FALSE)</f>
        <v>24</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22</v>
      </c>
      <c r="G89" s="15"/>
      <c r="H89" s="41">
        <f t="shared" si="44"/>
        <v>22</v>
      </c>
      <c r="I89" s="73">
        <f>IF(H89="","",IF($I$8="A",(RANK(H89,H$11:H$333,1)+COUNTIF(H$11:H89,H89)-1),(RANK(H89,H$11:H$333)+COUNTIF(H$11:H89,H89)-1)))</f>
        <v>102</v>
      </c>
      <c r="J89" s="40"/>
      <c r="K89" s="35">
        <f t="shared" si="51"/>
        <v>79</v>
      </c>
      <c r="L89" t="str">
        <f t="shared" si="45"/>
        <v>North Kesteven</v>
      </c>
      <c r="M89" s="109">
        <f t="shared" si="46"/>
        <v>19</v>
      </c>
      <c r="N89" s="104">
        <f t="shared" si="31"/>
        <v>19</v>
      </c>
      <c r="O89" s="89" t="str">
        <f t="shared" si="32"/>
        <v/>
      </c>
      <c r="P89" s="89">
        <f t="shared" si="33"/>
        <v>19</v>
      </c>
      <c r="Q89" s="89" t="str">
        <f t="shared" si="34"/>
        <v/>
      </c>
      <c r="R89" s="85" t="str">
        <f t="shared" si="35"/>
        <v/>
      </c>
      <c r="S89" s="41" t="str">
        <f t="shared" si="36"/>
        <v/>
      </c>
      <c r="T89" s="166" t="str">
        <f>IF(L89="","",VLOOKUP(L89,classifications!C:K,9,FALSE))</f>
        <v>Sparse</v>
      </c>
      <c r="U89" s="167">
        <f t="shared" si="37"/>
        <v>19</v>
      </c>
      <c r="V89" s="173">
        <f>IF(U89="","",IF($I$8="A",(RANK(U89,U$11:U$333)+COUNTIF(U$11:U89,U89)-1),(RANK(U89,U$11:U$333,1)+COUNTIF(U$11:U89,U89)-1)))</f>
        <v>23</v>
      </c>
      <c r="W89" s="174"/>
      <c r="X89" s="5" t="str">
        <f>IF(L89="","",VLOOKUP($L89,classifications!$C:$J,6,FALSE))</f>
        <v xml:space="preserve">Predominantly Rural </v>
      </c>
      <c r="Y89">
        <f t="shared" si="38"/>
        <v>19</v>
      </c>
      <c r="Z89" s="39">
        <f>IF(Y89="","",IF(I$8="A",(RANK(Y89,Y$11:Y$333,1)+COUNTIF(Y$11:Y89,Y89)-1),(RANK(Y89,Y$11:Y$333)+COUNTIF(Y$11:Y89,Y89)-1)))</f>
        <v>26</v>
      </c>
      <c r="AA89" s="177" t="str">
        <f>IF(L89="","",VLOOKUP($L89,classifications!C:I,7,FALSE))</f>
        <v>Predominantly Rural</v>
      </c>
      <c r="AB89" s="173">
        <f t="shared" si="39"/>
        <v>19</v>
      </c>
      <c r="AC89" s="173">
        <f>IF(AB89="","",IF($I$8="A",(RANK(AB89,AB$11:AB$333)+COUNTIF(AB$11:AB89,AB89)-1),(RANK(AB89,AB$11:AB$333,1)+COUNTIF(AB$11:AB89,AB89)-1)))</f>
        <v>32</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Lincolnshire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Midlands</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22</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14</v>
      </c>
      <c r="G90" s="15"/>
      <c r="H90" s="41">
        <f t="shared" si="44"/>
        <v>14</v>
      </c>
      <c r="I90" s="73">
        <f>IF(H90="","",IF($I$8="A",(RANK(H90,H$11:H$333,1)+COUNTIF(H$11:H90,H90)-1),(RANK(H90,H$11:H$333)+COUNTIF(H$11:H90,H90)-1)))</f>
        <v>33</v>
      </c>
      <c r="J90" s="40"/>
      <c r="K90" s="35">
        <f t="shared" si="51"/>
        <v>80</v>
      </c>
      <c r="L90" t="str">
        <f t="shared" si="45"/>
        <v>Stevenage</v>
      </c>
      <c r="M90" s="109">
        <f t="shared" si="46"/>
        <v>19</v>
      </c>
      <c r="N90" s="104">
        <f t="shared" si="31"/>
        <v>19</v>
      </c>
      <c r="O90" s="89" t="str">
        <f t="shared" si="32"/>
        <v/>
      </c>
      <c r="P90" s="89">
        <f t="shared" si="33"/>
        <v>19</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Predominantly Urban</v>
      </c>
      <c r="Y90" t="str">
        <f t="shared" si="38"/>
        <v/>
      </c>
      <c r="Z90" s="39" t="str">
        <f>IF(Y90="","",IF(I$8="A",(RANK(Y90,Y$11:Y$333,1)+COUNTIF(Y$11:Y90,Y90)-1),(RANK(Y90,Y$11:Y$333)+COUNTIF(Y$11:Y90,Y90)-1)))</f>
        <v/>
      </c>
      <c r="AA90" s="177" t="str">
        <f>IF(L90="","",VLOOKUP($L90,classifications!C:I,7,FALSE))</f>
        <v>Predominantly Urban</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Hertfordshire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of England</v>
      </c>
      <c r="AQ90" s="42">
        <f t="shared" si="42"/>
        <v>19</v>
      </c>
      <c r="AR90" s="39">
        <f>IF(AQ90="","",IF(I$8="A",(RANK(AQ90,AQ$11:AQ$333,1)+COUNTIF(AQ$11:AQ90,AQ90)-1),(RANK(AQ90,AQ$11:AQ$333)+COUNTIF(AQ$11:AQ90,AQ90)-1)))</f>
        <v>23</v>
      </c>
      <c r="AS90" s="3" t="str">
        <f t="shared" si="54"/>
        <v/>
      </c>
      <c r="AT90" s="39" t="str">
        <f t="shared" si="49"/>
        <v/>
      </c>
      <c r="AU90" s="42" t="str">
        <f t="shared" si="50"/>
        <v/>
      </c>
      <c r="AX90">
        <f>HLOOKUP($AX$9&amp;$AX$10,Data!$A$1:$ZT$1975,(MATCH($C90,Data!$A$1:$A$1975,0)),FALSE)</f>
        <v>14</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27</v>
      </c>
      <c r="G91" s="15"/>
      <c r="H91" s="41">
        <f t="shared" si="44"/>
        <v>27</v>
      </c>
      <c r="I91" s="73">
        <f>IF(H91="","",IF($I$8="A",(RANK(H91,H$11:H$333,1)+COUNTIF(H$11:H91,H91)-1),(RANK(H91,H$11:H$333)+COUNTIF(H$11:H91,H91)-1)))</f>
        <v>143</v>
      </c>
      <c r="J91" s="40"/>
      <c r="K91" s="35">
        <f t="shared" si="51"/>
        <v>81</v>
      </c>
      <c r="L91" t="str">
        <f t="shared" si="45"/>
        <v>Thanet</v>
      </c>
      <c r="M91" s="109">
        <f t="shared" si="46"/>
        <v>19</v>
      </c>
      <c r="N91" s="104">
        <f t="shared" si="31"/>
        <v>19</v>
      </c>
      <c r="O91" s="89" t="str">
        <f t="shared" si="32"/>
        <v/>
      </c>
      <c r="P91" s="89">
        <f t="shared" si="33"/>
        <v>19</v>
      </c>
      <c r="Q91" s="89" t="str">
        <f t="shared" si="34"/>
        <v/>
      </c>
      <c r="R91" s="85" t="str">
        <f t="shared" si="35"/>
        <v/>
      </c>
      <c r="S91" s="41" t="str">
        <f t="shared" si="36"/>
        <v/>
      </c>
      <c r="T91" s="166">
        <f>IF(L91="","",VLOOKUP(L91,classifications!C:K,9,FALSE))</f>
        <v>0</v>
      </c>
      <c r="U91" s="167" t="str">
        <f t="shared" si="37"/>
        <v/>
      </c>
      <c r="V91" s="173" t="str">
        <f>IF(U91="","",IF($I$8="A",(RANK(U91,U$11:U$333)+COUNTIF(U$11:U91,U91)-1),(RANK(U91,U$11:U$333,1)+COUNTIF(U$11:U91,U91)-1)))</f>
        <v/>
      </c>
      <c r="W91" s="174"/>
      <c r="X91" s="5" t="str">
        <f>IF(L91="","",VLOOKUP($L91,classifications!$C:$J,6,FALSE))</f>
        <v>Predominantly Urban</v>
      </c>
      <c r="Y91" t="str">
        <f t="shared" si="38"/>
        <v/>
      </c>
      <c r="Z91" s="39" t="str">
        <f>IF(Y91="","",IF(I$8="A",(RANK(Y91,Y$11:Y$333,1)+COUNTIF(Y$11:Y91,Y91)-1),(RANK(Y91,Y$11:Y$333)+COUNTIF(Y$11:Y91,Y91)-1)))</f>
        <v/>
      </c>
      <c r="AA91" s="177" t="str">
        <f>IF(L91="","",VLOOKUP($L91,classifications!C:I,7,FALSE))</f>
        <v>Predominantly Urban</v>
      </c>
      <c r="AB91" s="173" t="str">
        <f t="shared" si="39"/>
        <v/>
      </c>
      <c r="AC91" s="173" t="str">
        <f>IF(AB91="","",IF($I$8="A",(RANK(AB91,AB$11:AB$333)+COUNTIF(AB$11:AB91,AB91)-1),(RANK(AB91,AB$11:AB$333,1)+COUNTIF(AB$11:AB91,AB91)-1)))</f>
        <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Kent</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East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27</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20</v>
      </c>
      <c r="G92" s="15"/>
      <c r="H92" s="41">
        <f t="shared" si="44"/>
        <v>20</v>
      </c>
      <c r="I92" s="73">
        <f>IF(H92="","",IF($I$8="A",(RANK(H92,H$11:H$333,1)+COUNTIF(H$11:H92,H92)-1),(RANK(H92,H$11:H$333)+COUNTIF(H$11:H92,H92)-1)))</f>
        <v>88</v>
      </c>
      <c r="J92" s="40"/>
      <c r="K92" s="35">
        <f t="shared" si="51"/>
        <v>82</v>
      </c>
      <c r="L92" t="str">
        <f t="shared" si="45"/>
        <v>Wychavon</v>
      </c>
      <c r="M92" s="109">
        <f t="shared" si="46"/>
        <v>19</v>
      </c>
      <c r="N92" s="104">
        <f t="shared" si="31"/>
        <v>19</v>
      </c>
      <c r="O92" s="89" t="str">
        <f t="shared" si="32"/>
        <v/>
      </c>
      <c r="P92" s="89">
        <f t="shared" si="33"/>
        <v>19</v>
      </c>
      <c r="Q92" s="89" t="str">
        <f t="shared" si="34"/>
        <v/>
      </c>
      <c r="R92" s="85" t="str">
        <f t="shared" si="35"/>
        <v/>
      </c>
      <c r="S92" s="41" t="str">
        <f t="shared" si="36"/>
        <v/>
      </c>
      <c r="T92" s="166" t="str">
        <f>IF(L92="","",VLOOKUP(L92,classifications!C:K,9,FALSE))</f>
        <v>Sparse</v>
      </c>
      <c r="U92" s="167">
        <f t="shared" si="37"/>
        <v>19</v>
      </c>
      <c r="V92" s="173">
        <f>IF(U92="","",IF($I$8="A",(RANK(U92,U$11:U$333)+COUNTIF(U$11:U92,U92)-1),(RANK(U92,U$11:U$333,1)+COUNTIF(U$11:U92,U92)-1)))</f>
        <v>24</v>
      </c>
      <c r="W92" s="174"/>
      <c r="X92" s="5" t="str">
        <f>IF(L92="","",VLOOKUP($L92,classifications!$C:$J,6,FALSE))</f>
        <v xml:space="preserve">Predominantly Rural </v>
      </c>
      <c r="Y92">
        <f t="shared" si="38"/>
        <v>19</v>
      </c>
      <c r="Z92" s="39">
        <f>IF(Y92="","",IF(I$8="A",(RANK(Y92,Y$11:Y$333,1)+COUNTIF(Y$11:Y92,Y92)-1),(RANK(Y92,Y$11:Y$333)+COUNTIF(Y$11:Y92,Y92)-1)))</f>
        <v>27</v>
      </c>
      <c r="AA92" s="177" t="str">
        <f>IF(L92="","",VLOOKUP($L92,classifications!C:I,7,FALSE))</f>
        <v>Predominantly Rural</v>
      </c>
      <c r="AB92" s="173">
        <f t="shared" si="39"/>
        <v>19</v>
      </c>
      <c r="AC92" s="173">
        <f>IF(AB92="","",IF($I$8="A",(RANK(AB92,AB$11:AB$333)+COUNTIF(AB$11:AB92,AB92)-1),(RANK(AB92,AB$11:AB$333,1)+COUNTIF(AB$11:AB92,AB92)-1)))</f>
        <v>33</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Worcestershire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West Midlands</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20</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40</v>
      </c>
      <c r="G93" s="15"/>
      <c r="H93" s="41">
        <f t="shared" si="44"/>
        <v>40</v>
      </c>
      <c r="I93" s="73">
        <f>IF(H93="","",IF($I$8="A",(RANK(H93,H$11:H$333,1)+COUNTIF(H$11:H93,H93)-1),(RANK(H93,H$11:H$333)+COUNTIF(H$11:H93,H93)-1)))</f>
        <v>160</v>
      </c>
      <c r="J93" s="40"/>
      <c r="K93" s="35">
        <f t="shared" si="51"/>
        <v>83</v>
      </c>
      <c r="L93" t="str">
        <f t="shared" si="45"/>
        <v>Amber Valley</v>
      </c>
      <c r="M93" s="109">
        <f t="shared" si="46"/>
        <v>20</v>
      </c>
      <c r="N93" s="104">
        <f t="shared" si="31"/>
        <v>20</v>
      </c>
      <c r="O93" s="89" t="str">
        <f t="shared" si="32"/>
        <v/>
      </c>
      <c r="P93" s="89" t="str">
        <f t="shared" si="33"/>
        <v/>
      </c>
      <c r="Q93" s="89">
        <f t="shared" si="34"/>
        <v>20</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Derbyshire</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East Midlands</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40</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24</v>
      </c>
      <c r="G94" s="15"/>
      <c r="H94" s="41" t="str">
        <f t="shared" si="44"/>
        <v/>
      </c>
      <c r="I94" s="73" t="str">
        <f>IF(H94="","",IF($I$8="A",(RANK(H94,H$11:H$333,1)+COUNTIF(H$11:H94,H94)-1),(RANK(H94,H$11:H$333)+COUNTIF(H$11:H94,H94)-1)))</f>
        <v/>
      </c>
      <c r="J94" s="40"/>
      <c r="K94" s="35">
        <f t="shared" si="51"/>
        <v>84</v>
      </c>
      <c r="L94" t="str">
        <f t="shared" si="45"/>
        <v>Ashfield</v>
      </c>
      <c r="M94" s="109">
        <f t="shared" si="46"/>
        <v>20</v>
      </c>
      <c r="N94" s="104">
        <f t="shared" si="31"/>
        <v>20</v>
      </c>
      <c r="O94" s="89" t="str">
        <f t="shared" si="32"/>
        <v/>
      </c>
      <c r="P94" s="89" t="str">
        <f t="shared" si="33"/>
        <v/>
      </c>
      <c r="Q94" s="89">
        <f t="shared" si="34"/>
        <v>20</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Predominantly Urban</v>
      </c>
      <c r="Y94" t="str">
        <f t="shared" si="38"/>
        <v/>
      </c>
      <c r="Z94" s="39" t="str">
        <f>IF(Y94="","",IF(I$8="A",(RANK(Y94,Y$11:Y$333,1)+COUNTIF(Y$11:Y94,Y94)-1),(RANK(Y94,Y$11:Y$333)+COUNTIF(Y$11:Y94,Y94)-1)))</f>
        <v/>
      </c>
      <c r="AA94" s="177" t="str">
        <f>IF(L94="","",VLOOKUP($L94,classifications!C:I,7,FALSE))</f>
        <v>Predominantly Urban</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Nottinghamshire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Midlands</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24</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18</v>
      </c>
      <c r="G95" s="15"/>
      <c r="H95" s="41">
        <f t="shared" si="44"/>
        <v>18</v>
      </c>
      <c r="I95" s="73">
        <f>IF(H95="","",IF($I$8="A",(RANK(H95,H$11:H$333,1)+COUNTIF(H$11:H95,H95)-1),(RANK(H95,H$11:H$333)+COUNTIF(H$11:H95,H95)-1)))</f>
        <v>63</v>
      </c>
      <c r="J95" s="40"/>
      <c r="K95" s="35">
        <f t="shared" si="51"/>
        <v>85</v>
      </c>
      <c r="L95" t="str">
        <f t="shared" si="45"/>
        <v>Bolsover</v>
      </c>
      <c r="M95" s="109">
        <f t="shared" si="46"/>
        <v>20</v>
      </c>
      <c r="N95" s="104">
        <f t="shared" si="31"/>
        <v>20</v>
      </c>
      <c r="O95" s="89" t="str">
        <f t="shared" si="32"/>
        <v/>
      </c>
      <c r="P95" s="89" t="str">
        <f t="shared" si="33"/>
        <v/>
      </c>
      <c r="Q95" s="89">
        <f t="shared" si="34"/>
        <v>20</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Urban with Significant Rural</v>
      </c>
      <c r="Y95" t="str">
        <f t="shared" si="38"/>
        <v/>
      </c>
      <c r="Z95" s="39" t="str">
        <f>IF(Y95="","",IF(I$8="A",(RANK(Y95,Y$11:Y$333,1)+COUNTIF(Y$11:Y95,Y95)-1),(RANK(Y95,Y$11:Y$333)+COUNTIF(Y$11:Y95,Y95)-1)))</f>
        <v/>
      </c>
      <c r="AA95" s="177" t="str">
        <f>IF(L95="","",VLOOKUP($L95,classifications!C:I,7,FALSE))</f>
        <v>Urban with Significant Rural</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Derbyshire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East Midlands</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18</v>
      </c>
    </row>
    <row r="96" spans="1:50">
      <c r="A96" s="55" t="str">
        <f>$D$1&amp;86</f>
        <v>SD86</v>
      </c>
      <c r="B96" s="56">
        <f>IF(ISERROR(VLOOKUP(A96,classifications!A:C,3,FALSE)),0,VLOOKUP(A96,classifications!A:C,3,FALSE))</f>
        <v>0</v>
      </c>
      <c r="C96" t="s">
        <v>891</v>
      </c>
      <c r="D96" t="str">
        <f>VLOOKUP($C96,classifications!$C:$J,4,FALSE)</f>
        <v>SD</v>
      </c>
      <c r="E96" t="str">
        <f>VLOOKUP(C96,classifications!C:K,9,FALSE)</f>
        <v>Sparse</v>
      </c>
      <c r="F96">
        <f t="shared" si="43"/>
        <v>26</v>
      </c>
      <c r="G96" s="15"/>
      <c r="H96" s="41">
        <f t="shared" si="44"/>
        <v>26</v>
      </c>
      <c r="I96" s="73">
        <f>IF(H96="","",IF($I$8="A",(RANK(H96,H$11:H$333,1)+COUNTIF(H$11:H96,H96)-1),(RANK(H96,H$11:H$333)+COUNTIF(H$11:H96,H96)-1)))</f>
        <v>139</v>
      </c>
      <c r="J96" s="40"/>
      <c r="K96" s="35">
        <f t="shared" si="51"/>
        <v>86</v>
      </c>
      <c r="L96" t="str">
        <f t="shared" si="45"/>
        <v>Chichester</v>
      </c>
      <c r="M96" s="109">
        <f t="shared" si="46"/>
        <v>20</v>
      </c>
      <c r="N96" s="104">
        <f t="shared" si="31"/>
        <v>20</v>
      </c>
      <c r="O96" s="89" t="str">
        <f t="shared" si="32"/>
        <v/>
      </c>
      <c r="P96" s="89" t="str">
        <f t="shared" si="33"/>
        <v/>
      </c>
      <c r="Q96" s="89">
        <f t="shared" si="34"/>
        <v>20</v>
      </c>
      <c r="R96" s="85" t="str">
        <f t="shared" si="35"/>
        <v/>
      </c>
      <c r="S96" s="41" t="str">
        <f t="shared" si="36"/>
        <v/>
      </c>
      <c r="T96" s="166" t="str">
        <f>IF(L96="","",VLOOKUP(L96,classifications!C:K,9,FALSE))</f>
        <v>Sparse</v>
      </c>
      <c r="U96" s="167">
        <f t="shared" si="37"/>
        <v>20</v>
      </c>
      <c r="V96" s="173">
        <f>IF(U96="","",IF($I$8="A",(RANK(U96,U$11:U$333)+COUNTIF(U$11:U96,U96)-1),(RANK(U96,U$11:U$333,1)+COUNTIF(U$11:U96,U96)-1)))</f>
        <v>22</v>
      </c>
      <c r="W96" s="174"/>
      <c r="X96" s="5" t="str">
        <f>IF(L96="","",VLOOKUP($L96,classifications!$C:$J,6,FALSE))</f>
        <v xml:space="preserve">Predominantly Rural </v>
      </c>
      <c r="Y96">
        <f t="shared" si="38"/>
        <v>20</v>
      </c>
      <c r="Z96" s="39">
        <f>IF(Y96="","",IF(I$8="A",(RANK(Y96,Y$11:Y$333,1)+COUNTIF(Y$11:Y96,Y96)-1),(RANK(Y96,Y$11:Y$333)+COUNTIF(Y$11:Y96,Y96)-1)))</f>
        <v>28</v>
      </c>
      <c r="AA96" s="177" t="str">
        <f>IF(L96="","",VLOOKUP($L96,classifications!C:I,7,FALSE))</f>
        <v>Predominantly Rural</v>
      </c>
      <c r="AB96" s="173">
        <f t="shared" si="39"/>
        <v>20</v>
      </c>
      <c r="AC96" s="173">
        <f>IF(AB96="","",IF($I$8="A",(RANK(AB96,AB$11:AB$333)+COUNTIF(AB$11:AB96,AB96)-1),(RANK(AB96,AB$11:AB$333,1)+COUNTIF(AB$11:AB96,AB96)-1)))</f>
        <v>31</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West Sussex</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South East</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26</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Dover</v>
      </c>
      <c r="M97" s="109">
        <f t="shared" si="46"/>
        <v>20</v>
      </c>
      <c r="N97" s="104">
        <f t="shared" si="31"/>
        <v>20</v>
      </c>
      <c r="O97" s="89" t="str">
        <f t="shared" si="32"/>
        <v/>
      </c>
      <c r="P97" s="89" t="str">
        <f t="shared" si="33"/>
        <v/>
      </c>
      <c r="Q97" s="89">
        <f t="shared" si="34"/>
        <v>20</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Urban with Significant Rural</v>
      </c>
      <c r="Y97" t="str">
        <f t="shared" si="38"/>
        <v/>
      </c>
      <c r="Z97" s="39" t="str">
        <f>IF(Y97="","",IF(I$8="A",(RANK(Y97,Y$11:Y$333,1)+COUNTIF(Y$11:Y97,Y97)-1),(RANK(Y97,Y$11:Y$333)+COUNTIF(Y$11:Y97,Y97)-1)))</f>
        <v/>
      </c>
      <c r="AA97" s="177" t="str">
        <f>IF(L97="","",VLOOKUP($L97,classifications!C:I,7,FALSE))</f>
        <v>Urban with Significant Rural</v>
      </c>
      <c r="AB97" s="173" t="str">
        <f t="shared" si="39"/>
        <v/>
      </c>
      <c r="AC97" s="173" t="str">
        <f>IF(AB97="","",IF($I$8="A",(RANK(AB97,AB$11:AB$333)+COUNTIF(AB$11:AB97,AB97)-1),(RANK(AB97,AB$11:AB$333,1)+COUNTIF(AB$11:AB97,AB97)-1)))</f>
        <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Kent</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South East</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21</v>
      </c>
      <c r="G98" s="15"/>
      <c r="H98" s="41">
        <f t="shared" si="44"/>
        <v>21</v>
      </c>
      <c r="I98" s="73">
        <f>IF(H98="","",IF($I$8="A",(RANK(H98,H$11:H$333,1)+COUNTIF(H$11:H98,H98)-1),(RANK(H98,H$11:H$333)+COUNTIF(H$11:H98,H98)-1)))</f>
        <v>95</v>
      </c>
      <c r="J98" s="40"/>
      <c r="K98" s="35">
        <f t="shared" si="51"/>
        <v>88</v>
      </c>
      <c r="L98" t="str">
        <f t="shared" si="45"/>
        <v>East Hertfordshire</v>
      </c>
      <c r="M98" s="109">
        <f t="shared" si="46"/>
        <v>20</v>
      </c>
      <c r="N98" s="104">
        <f t="shared" si="31"/>
        <v>20</v>
      </c>
      <c r="O98" s="89" t="str">
        <f t="shared" si="32"/>
        <v/>
      </c>
      <c r="P98" s="89" t="str">
        <f t="shared" si="33"/>
        <v/>
      </c>
      <c r="Q98" s="89">
        <f t="shared" si="34"/>
        <v>20</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Urban with Significant Rural</v>
      </c>
      <c r="Y98" t="str">
        <f t="shared" si="38"/>
        <v/>
      </c>
      <c r="Z98" s="39" t="str">
        <f>IF(Y98="","",IF(I$8="A",(RANK(Y98,Y$11:Y$333,1)+COUNTIF(Y$11:Y98,Y98)-1),(RANK(Y98,Y$11:Y$333)+COUNTIF(Y$11:Y98,Y98)-1)))</f>
        <v/>
      </c>
      <c r="AA98" s="177" t="str">
        <f>IF(L98="","",VLOOKUP($L98,classifications!C:I,7,FALSE))</f>
        <v>Urban with Significant Rural</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Hertfordshire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East of England</v>
      </c>
      <c r="AQ98" s="42">
        <f t="shared" si="42"/>
        <v>20</v>
      </c>
      <c r="AR98" s="39">
        <f>IF(AQ98="","",IF(I$8="A",(RANK(AQ98,AQ$11:AQ$333,1)+COUNTIF(AQ$11:AQ98,AQ98)-1),(RANK(AQ98,AQ$11:AQ$333)+COUNTIF(AQ$11:AQ98,AQ98)-1)))</f>
        <v>24</v>
      </c>
      <c r="AS98" s="3" t="str">
        <f t="shared" si="54"/>
        <v/>
      </c>
      <c r="AT98" s="39" t="str">
        <f t="shared" si="49"/>
        <v/>
      </c>
      <c r="AU98" s="42" t="str">
        <f t="shared" si="50"/>
        <v/>
      </c>
      <c r="AX98">
        <f>HLOOKUP($AX$9&amp;$AX$10,Data!$A$1:$ZT$1975,(MATCH($C98,Data!$A$1:$A$1975,0)),FALSE)</f>
        <v>21</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11</v>
      </c>
      <c r="G99" s="15"/>
      <c r="H99" s="41">
        <f t="shared" si="44"/>
        <v>11</v>
      </c>
      <c r="I99" s="73">
        <f>IF(H99="","",IF($I$8="A",(RANK(H99,H$11:H$333,1)+COUNTIF(H$11:H99,H99)-1),(RANK(H99,H$11:H$333)+COUNTIF(H$11:H99,H99)-1)))</f>
        <v>14</v>
      </c>
      <c r="J99" s="40"/>
      <c r="K99" s="35">
        <f t="shared" si="51"/>
        <v>89</v>
      </c>
      <c r="L99" t="str">
        <f t="shared" si="45"/>
        <v>North Hertfordshire</v>
      </c>
      <c r="M99" s="109">
        <f t="shared" si="46"/>
        <v>20</v>
      </c>
      <c r="N99" s="104">
        <f t="shared" si="31"/>
        <v>20</v>
      </c>
      <c r="O99" s="89" t="str">
        <f t="shared" si="32"/>
        <v/>
      </c>
      <c r="P99" s="89" t="str">
        <f t="shared" si="33"/>
        <v/>
      </c>
      <c r="Q99" s="89">
        <f t="shared" si="34"/>
        <v>20</v>
      </c>
      <c r="R99" s="85" t="str">
        <f t="shared" si="35"/>
        <v/>
      </c>
      <c r="S99" s="41" t="str">
        <f t="shared" si="36"/>
        <v/>
      </c>
      <c r="T99" s="166">
        <f>IF(L99="","",VLOOKUP(L99,classifications!C:K,9,FALSE))</f>
        <v>0</v>
      </c>
      <c r="U99" s="167" t="str">
        <f t="shared" si="37"/>
        <v/>
      </c>
      <c r="V99" s="173" t="str">
        <f>IF(U99="","",IF($I$8="A",(RANK(U99,U$11:U$333)+COUNTIF(U$11:U99,U99)-1),(RANK(U99,U$11:U$333,1)+COUNTIF(U$11:U99,U99)-1)))</f>
        <v/>
      </c>
      <c r="W99" s="174"/>
      <c r="X99" s="5" t="str">
        <f>IF(L99="","",VLOOKUP($L99,classifications!$C:$J,6,FALSE))</f>
        <v>Urban with Significant Rural</v>
      </c>
      <c r="Y99" t="str">
        <f t="shared" si="38"/>
        <v/>
      </c>
      <c r="Z99" s="39" t="str">
        <f>IF(Y99="","",IF(I$8="A",(RANK(Y99,Y$11:Y$333,1)+COUNTIF(Y$11:Y99,Y99)-1),(RANK(Y99,Y$11:Y$333)+COUNTIF(Y$11:Y99,Y99)-1)))</f>
        <v/>
      </c>
      <c r="AA99" s="177" t="str">
        <f>IF(L99="","",VLOOKUP($L99,classifications!C:I,7,FALSE))</f>
        <v>Urban with Significant Rural</v>
      </c>
      <c r="AB99" s="173" t="str">
        <f t="shared" si="39"/>
        <v/>
      </c>
      <c r="AC99" s="173" t="str">
        <f>IF(AB99="","",IF($I$8="A",(RANK(AB99,AB$11:AB$333)+COUNTIF(AB$11:AB99,AB99)-1),(RANK(AB99,AB$11:AB$333,1)+COUNTIF(AB$11:AB99,AB99)-1)))</f>
        <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Hertfordshire</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East of England</v>
      </c>
      <c r="AQ99" s="42">
        <f t="shared" si="42"/>
        <v>20</v>
      </c>
      <c r="AR99" s="39">
        <f>IF(AQ99="","",IF(I$8="A",(RANK(AQ99,AQ$11:AQ$333,1)+COUNTIF(AQ$11:AQ99,AQ99)-1),(RANK(AQ99,AQ$11:AQ$333)+COUNTIF(AQ$11:AQ99,AQ99)-1)))</f>
        <v>25</v>
      </c>
      <c r="AS99" s="3" t="str">
        <f t="shared" si="54"/>
        <v/>
      </c>
      <c r="AT99" s="39" t="str">
        <f t="shared" si="49"/>
        <v/>
      </c>
      <c r="AU99" s="42" t="str">
        <f t="shared" si="50"/>
        <v/>
      </c>
      <c r="AX99">
        <f>HLOOKUP($AX$9&amp;$AX$10,Data!$A$1:$ZT$1975,(MATCH($C99,Data!$A$1:$A$1975,0)),FALSE)</f>
        <v>11</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8</v>
      </c>
      <c r="G100" s="15"/>
      <c r="H100" s="41">
        <f t="shared" si="44"/>
        <v>8</v>
      </c>
      <c r="I100" s="73">
        <f>IF(H100="","",IF($I$8="A",(RANK(H100,H$11:H$333,1)+COUNTIF(H$11:H100,H100)-1),(RANK(H100,H$11:H$333)+COUNTIF(H$11:H100,H100)-1)))</f>
        <v>6</v>
      </c>
      <c r="J100" s="40"/>
      <c r="K100" s="35">
        <f t="shared" si="51"/>
        <v>90</v>
      </c>
      <c r="L100" t="str">
        <f t="shared" si="45"/>
        <v>Tamworth</v>
      </c>
      <c r="M100" s="109">
        <f t="shared" si="46"/>
        <v>20</v>
      </c>
      <c r="N100" s="104">
        <f t="shared" si="31"/>
        <v>20</v>
      </c>
      <c r="O100" s="89" t="str">
        <f t="shared" si="32"/>
        <v/>
      </c>
      <c r="P100" s="89" t="str">
        <f t="shared" si="33"/>
        <v/>
      </c>
      <c r="Q100" s="89">
        <f t="shared" si="34"/>
        <v>20</v>
      </c>
      <c r="R100" s="85" t="str">
        <f t="shared" si="35"/>
        <v/>
      </c>
      <c r="S100" s="41" t="str">
        <f t="shared" si="36"/>
        <v/>
      </c>
      <c r="T100" s="166">
        <f>IF(L100="","",VLOOKUP(L100,classifications!C:K,9,FALSE))</f>
        <v>0</v>
      </c>
      <c r="U100" s="167" t="str">
        <f t="shared" si="37"/>
        <v/>
      </c>
      <c r="V100" s="173" t="str">
        <f>IF(U100="","",IF($I$8="A",(RANK(U100,U$11:U$333)+COUNTIF(U$11:U100,U100)-1),(RANK(U100,U$11:U$333,1)+COUNTIF(U$11:U100,U100)-1)))</f>
        <v/>
      </c>
      <c r="W100" s="174"/>
      <c r="X100" s="5" t="str">
        <f>IF(L100="","",VLOOKUP($L100,classifications!$C:$J,6,FALSE))</f>
        <v>Predominantly Urban</v>
      </c>
      <c r="Y100" t="str">
        <f t="shared" si="38"/>
        <v/>
      </c>
      <c r="Z100" s="39" t="str">
        <f>IF(Y100="","",IF(I$8="A",(RANK(Y100,Y$11:Y$333,1)+COUNTIF(Y$11:Y100,Y100)-1),(RANK(Y100,Y$11:Y$333)+COUNTIF(Y$11:Y100,Y100)-1)))</f>
        <v/>
      </c>
      <c r="AA100" s="177" t="str">
        <f>IF(L100="","",VLOOKUP($L100,classifications!C:I,7,FALSE))</f>
        <v>Predominantly Urban</v>
      </c>
      <c r="AB100" s="173" t="str">
        <f t="shared" si="39"/>
        <v/>
      </c>
      <c r="AC100" s="173" t="str">
        <f>IF(AB100="","",IF($I$8="A",(RANK(AB100,AB$11:AB$333)+COUNTIF(AB$11:AB100,AB100)-1),(RANK(AB100,AB$11:AB$333,1)+COUNTIF(AB$11:AB100,AB100)-1)))</f>
        <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Staffordshire</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West Midlands</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8</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27</v>
      </c>
      <c r="G101" s="15"/>
      <c r="H101" s="41" t="str">
        <f t="shared" si="44"/>
        <v/>
      </c>
      <c r="I101" s="73" t="str">
        <f>IF(H101="","",IF($I$8="A",(RANK(H101,H$11:H$333,1)+COUNTIF(H$11:H101,H101)-1),(RANK(H101,H$11:H$333)+COUNTIF(H$11:H101,H101)-1)))</f>
        <v/>
      </c>
      <c r="J101" s="40"/>
      <c r="K101" s="35">
        <f t="shared" si="51"/>
        <v>91</v>
      </c>
      <c r="L101" t="str">
        <f t="shared" si="45"/>
        <v>Ashford</v>
      </c>
      <c r="M101" s="109">
        <f t="shared" si="46"/>
        <v>21</v>
      </c>
      <c r="N101" s="104">
        <f t="shared" si="31"/>
        <v>21</v>
      </c>
      <c r="O101" s="89" t="str">
        <f t="shared" si="32"/>
        <v/>
      </c>
      <c r="P101" s="89" t="str">
        <f t="shared" si="33"/>
        <v/>
      </c>
      <c r="Q101" s="89">
        <f t="shared" si="34"/>
        <v>21</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Urban with Significant Rural</v>
      </c>
      <c r="Y101" t="str">
        <f t="shared" si="38"/>
        <v/>
      </c>
      <c r="Z101" s="39" t="str">
        <f>IF(Y101="","",IF(I$8="A",(RANK(Y101,Y$11:Y$333,1)+COUNTIF(Y$11:Y101,Y101)-1),(RANK(Y101,Y$11:Y$333)+COUNTIF(Y$11:Y101,Y101)-1)))</f>
        <v/>
      </c>
      <c r="AA101" s="177" t="str">
        <f>IF(L101="","",VLOOKUP($L101,classifications!C:I,7,FALSE))</f>
        <v>Urban with Significant Rural</v>
      </c>
      <c r="AB101" s="173" t="str">
        <f t="shared" si="39"/>
        <v/>
      </c>
      <c r="AC101" s="173" t="str">
        <f>IF(AB101="","",IF($I$8="A",(RANK(AB101,AB$11:AB$333)+COUNTIF(AB$11:AB101,AB101)-1),(RANK(AB101,AB$11:AB$333,1)+COUNTIF(AB$11:AB101,AB101)-1)))</f>
        <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Kent</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South East</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27</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17</v>
      </c>
      <c r="G102" s="15"/>
      <c r="H102" s="41">
        <f t="shared" si="44"/>
        <v>17</v>
      </c>
      <c r="I102" s="73">
        <f>IF(H102="","",IF($I$8="A",(RANK(H102,H$11:H$333,1)+COUNTIF(H$11:H102,H102)-1),(RANK(H102,H$11:H$333)+COUNTIF(H$11:H102,H102)-1)))</f>
        <v>55</v>
      </c>
      <c r="J102" s="40"/>
      <c r="K102" s="35">
        <f t="shared" si="51"/>
        <v>92</v>
      </c>
      <c r="L102" t="str">
        <f t="shared" si="45"/>
        <v>Braintree</v>
      </c>
      <c r="M102" s="109">
        <f t="shared" si="46"/>
        <v>21</v>
      </c>
      <c r="N102" s="104">
        <f t="shared" si="31"/>
        <v>21</v>
      </c>
      <c r="O102" s="89" t="str">
        <f t="shared" si="32"/>
        <v/>
      </c>
      <c r="P102" s="89" t="str">
        <f t="shared" si="33"/>
        <v/>
      </c>
      <c r="Q102" s="89">
        <f t="shared" si="34"/>
        <v>21</v>
      </c>
      <c r="R102" s="85" t="str">
        <f t="shared" si="35"/>
        <v/>
      </c>
      <c r="S102" s="41" t="str">
        <f t="shared" si="36"/>
        <v/>
      </c>
      <c r="T102" s="166" t="str">
        <f>IF(L102="","",VLOOKUP(L102,classifications!C:K,9,FALSE))</f>
        <v>Sparse</v>
      </c>
      <c r="U102" s="167">
        <f t="shared" si="37"/>
        <v>21</v>
      </c>
      <c r="V102" s="173">
        <f>IF(U102="","",IF($I$8="A",(RANK(U102,U$11:U$333)+COUNTIF(U$11:U102,U102)-1),(RANK(U102,U$11:U$333,1)+COUNTIF(U$11:U102,U102)-1)))</f>
        <v>20</v>
      </c>
      <c r="W102" s="174"/>
      <c r="X102" s="5" t="str">
        <f>IF(L102="","",VLOOKUP($L102,classifications!$C:$J,6,FALSE))</f>
        <v xml:space="preserve">Predominantly Rural </v>
      </c>
      <c r="Y102">
        <f t="shared" si="38"/>
        <v>21</v>
      </c>
      <c r="Z102" s="39">
        <f>IF(Y102="","",IF(I$8="A",(RANK(Y102,Y$11:Y$333,1)+COUNTIF(Y$11:Y102,Y102)-1),(RANK(Y102,Y$11:Y$333)+COUNTIF(Y$11:Y102,Y102)-1)))</f>
        <v>29</v>
      </c>
      <c r="AA102" s="177" t="str">
        <f>IF(L102="","",VLOOKUP($L102,classifications!C:I,7,FALSE))</f>
        <v>Predominantly Rural</v>
      </c>
      <c r="AB102" s="173">
        <f t="shared" si="39"/>
        <v>21</v>
      </c>
      <c r="AC102" s="173">
        <f>IF(AB102="","",IF($I$8="A",(RANK(AB102,AB$11:AB$333)+COUNTIF(AB$11:AB102,AB102)-1),(RANK(AB102,AB$11:AB$333,1)+COUNTIF(AB$11:AB102,AB102)-1)))</f>
        <v>29</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Essex</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of England</v>
      </c>
      <c r="AQ102" s="42">
        <f t="shared" si="42"/>
        <v>21</v>
      </c>
      <c r="AR102" s="39">
        <f>IF(AQ102="","",IF(I$8="A",(RANK(AQ102,AQ$11:AQ$333,1)+COUNTIF(AQ$11:AQ102,AQ102)-1),(RANK(AQ102,AQ$11:AQ$333)+COUNTIF(AQ$11:AQ102,AQ102)-1)))</f>
        <v>26</v>
      </c>
      <c r="AS102" s="3" t="str">
        <f t="shared" si="54"/>
        <v/>
      </c>
      <c r="AT102" s="39" t="str">
        <f t="shared" si="49"/>
        <v/>
      </c>
      <c r="AU102" s="42" t="str">
        <f t="shared" si="50"/>
        <v/>
      </c>
      <c r="AX102">
        <f>HLOOKUP($AX$9&amp;$AX$10,Data!$A$1:$ZT$1975,(MATCH($C102,Data!$A$1:$A$1975,0)),FALSE)</f>
        <v>17</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17</v>
      </c>
      <c r="G103" s="15"/>
      <c r="H103" s="41">
        <f t="shared" si="44"/>
        <v>17</v>
      </c>
      <c r="I103" s="73">
        <f>IF(H103="","",IF($I$8="A",(RANK(H103,H$11:H$333,1)+COUNTIF(H$11:H103,H103)-1),(RANK(H103,H$11:H$333)+COUNTIF(H$11:H103,H103)-1)))</f>
        <v>56</v>
      </c>
      <c r="J103" s="40"/>
      <c r="K103" s="35">
        <f t="shared" si="51"/>
        <v>93</v>
      </c>
      <c r="L103" t="str">
        <f t="shared" si="45"/>
        <v>Cheltenham</v>
      </c>
      <c r="M103" s="109">
        <f t="shared" si="46"/>
        <v>21</v>
      </c>
      <c r="N103" s="104">
        <f t="shared" si="31"/>
        <v>21</v>
      </c>
      <c r="O103" s="89" t="str">
        <f t="shared" si="32"/>
        <v/>
      </c>
      <c r="P103" s="89" t="str">
        <f t="shared" si="33"/>
        <v/>
      </c>
      <c r="Q103" s="89">
        <f t="shared" si="34"/>
        <v>21</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Predominantly Urban</v>
      </c>
      <c r="Y103" t="str">
        <f t="shared" si="38"/>
        <v/>
      </c>
      <c r="Z103" s="39" t="str">
        <f>IF(Y103="","",IF(I$8="A",(RANK(Y103,Y$11:Y$333,1)+COUNTIF(Y$11:Y103,Y103)-1),(RANK(Y103,Y$11:Y$333)+COUNTIF(Y$11:Y103,Y103)-1)))</f>
        <v/>
      </c>
      <c r="AA103" s="177" t="str">
        <f>IF(L103="","",VLOOKUP($L103,classifications!C:I,7,FALSE))</f>
        <v>Predominantly Urban</v>
      </c>
      <c r="AB103" s="173" t="str">
        <f t="shared" si="39"/>
        <v/>
      </c>
      <c r="AC103" s="173" t="str">
        <f>IF(AB103="","",IF($I$8="A",(RANK(AB103,AB$11:AB$333)+COUNTIF(AB$11:AB103,AB103)-1),(RANK(AB103,AB$11:AB$333,1)+COUNTIF(AB$11:AB103,AB103)-1)))</f>
        <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Gloucestershire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South West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17</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17</v>
      </c>
      <c r="G104" s="15"/>
      <c r="H104" s="41">
        <f t="shared" si="44"/>
        <v>17</v>
      </c>
      <c r="I104" s="73">
        <f>IF(H104="","",IF($I$8="A",(RANK(H104,H$11:H$333,1)+COUNTIF(H$11:H104,H104)-1),(RANK(H104,H$11:H$333)+COUNTIF(H$11:H104,H104)-1)))</f>
        <v>57</v>
      </c>
      <c r="J104" s="40"/>
      <c r="K104" s="35">
        <f t="shared" si="51"/>
        <v>94</v>
      </c>
      <c r="L104" t="str">
        <f t="shared" si="45"/>
        <v>Chesterfield</v>
      </c>
      <c r="M104" s="109">
        <f t="shared" si="46"/>
        <v>21</v>
      </c>
      <c r="N104" s="104">
        <f t="shared" si="31"/>
        <v>21</v>
      </c>
      <c r="O104" s="89" t="str">
        <f t="shared" si="32"/>
        <v/>
      </c>
      <c r="P104" s="89" t="str">
        <f t="shared" si="33"/>
        <v/>
      </c>
      <c r="Q104" s="89">
        <f t="shared" si="34"/>
        <v>21</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Predominantly Urban</v>
      </c>
      <c r="Y104" t="str">
        <f t="shared" si="38"/>
        <v/>
      </c>
      <c r="Z104" s="39" t="str">
        <f>IF(Y104="","",IF(I$8="A",(RANK(Y104,Y$11:Y$333,1)+COUNTIF(Y$11:Y104,Y104)-1),(RANK(Y104,Y$11:Y$333)+COUNTIF(Y$11:Y104,Y104)-1)))</f>
        <v/>
      </c>
      <c r="AA104" s="177" t="str">
        <f>IF(L104="","",VLOOKUP($L104,classifications!C:I,7,FALSE))</f>
        <v>Predominantly Urban</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Derbyshire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East Midlands</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17</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Eastbourne</v>
      </c>
      <c r="M105" s="109">
        <f t="shared" si="46"/>
        <v>21</v>
      </c>
      <c r="N105" s="104">
        <f t="shared" si="31"/>
        <v>21</v>
      </c>
      <c r="O105" s="89" t="str">
        <f t="shared" si="32"/>
        <v/>
      </c>
      <c r="P105" s="89" t="str">
        <f t="shared" si="33"/>
        <v/>
      </c>
      <c r="Q105" s="89">
        <f t="shared" si="34"/>
        <v>21</v>
      </c>
      <c r="R105" s="85" t="str">
        <f t="shared" si="35"/>
        <v/>
      </c>
      <c r="S105" s="41" t="str">
        <f t="shared" si="36"/>
        <v/>
      </c>
      <c r="T105" s="166">
        <f>IF(L105="","",VLOOKUP(L105,classifications!C:K,9,FALSE))</f>
        <v>0</v>
      </c>
      <c r="U105" s="167" t="str">
        <f t="shared" si="37"/>
        <v/>
      </c>
      <c r="V105" s="173" t="str">
        <f>IF(U105="","",IF($I$8="A",(RANK(U105,U$11:U$333)+COUNTIF(U$11:U105,U105)-1),(RANK(U105,U$11:U$333,1)+COUNTIF(U$11:U105,U105)-1)))</f>
        <v/>
      </c>
      <c r="W105" s="174"/>
      <c r="X105" s="5" t="str">
        <f>IF(L105="","",VLOOKUP($L105,classifications!$C:$J,6,FALSE))</f>
        <v>Predominantly Urban</v>
      </c>
      <c r="Y105" t="str">
        <f t="shared" si="38"/>
        <v/>
      </c>
      <c r="Z105" s="39" t="str">
        <f>IF(Y105="","",IF(I$8="A",(RANK(Y105,Y$11:Y$333,1)+COUNTIF(Y$11:Y105,Y105)-1),(RANK(Y105,Y$11:Y$333)+COUNTIF(Y$11:Y105,Y105)-1)))</f>
        <v/>
      </c>
      <c r="AA105" s="177" t="str">
        <f>IF(L105="","",VLOOKUP($L105,classifications!C:I,7,FALSE))</f>
        <v>Predominantly Urban</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East Sussex</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South East</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13</v>
      </c>
      <c r="G106" s="15"/>
      <c r="H106" s="41">
        <f t="shared" si="44"/>
        <v>13</v>
      </c>
      <c r="I106" s="73">
        <f>IF(H106="","",IF($I$8="A",(RANK(H106,H$11:H$333,1)+COUNTIF(H$11:H106,H106)-1),(RANK(H106,H$11:H$333)+COUNTIF(H$11:H106,H106)-1)))</f>
        <v>22</v>
      </c>
      <c r="J106" s="40"/>
      <c r="K106" s="35">
        <f t="shared" si="51"/>
        <v>96</v>
      </c>
      <c r="L106" t="str">
        <f t="shared" si="45"/>
        <v>Runnymede</v>
      </c>
      <c r="M106" s="109">
        <f t="shared" si="46"/>
        <v>21</v>
      </c>
      <c r="N106" s="104">
        <f t="shared" si="31"/>
        <v>21</v>
      </c>
      <c r="O106" s="89" t="str">
        <f t="shared" si="32"/>
        <v/>
      </c>
      <c r="P106" s="89" t="str">
        <f t="shared" si="33"/>
        <v/>
      </c>
      <c r="Q106" s="89">
        <f t="shared" si="34"/>
        <v>21</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Surrey</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South East</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13</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v>
      </c>
      <c r="G107" s="15"/>
      <c r="H107" s="41">
        <f t="shared" si="44"/>
        <v>10</v>
      </c>
      <c r="I107" s="73">
        <f>IF(H107="","",IF($I$8="A",(RANK(H107,H$11:H$333,1)+COUNTIF(H$11:H107,H107)-1),(RANK(H107,H$11:H$333)+COUNTIF(H$11:H107,H107)-1)))</f>
        <v>11</v>
      </c>
      <c r="J107" s="40"/>
      <c r="K107" s="35">
        <f t="shared" si="51"/>
        <v>97</v>
      </c>
      <c r="L107" t="str">
        <f t="shared" si="45"/>
        <v>Spelthorne</v>
      </c>
      <c r="M107" s="109">
        <f t="shared" si="46"/>
        <v>21</v>
      </c>
      <c r="N107" s="104">
        <f t="shared" si="31"/>
        <v>21</v>
      </c>
      <c r="O107" s="89" t="str">
        <f t="shared" si="32"/>
        <v/>
      </c>
      <c r="P107" s="89" t="str">
        <f t="shared" si="33"/>
        <v/>
      </c>
      <c r="Q107" s="89">
        <f t="shared" si="34"/>
        <v>21</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Predominantly Urban</v>
      </c>
      <c r="Y107" t="str">
        <f t="shared" si="38"/>
        <v/>
      </c>
      <c r="Z107" s="39" t="str">
        <f>IF(Y107="","",IF(I$8="A",(RANK(Y107,Y$11:Y$333,1)+COUNTIF(Y$11:Y107,Y107)-1),(RANK(Y107,Y$11:Y$333)+COUNTIF(Y$11:Y107,Y107)-1)))</f>
        <v/>
      </c>
      <c r="AA107" s="177" t="str">
        <f>IF(L107="","",VLOOKUP($L107,classifications!C:I,7,FALSE))</f>
        <v>Predominantly Urban</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Surrey</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South East</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25</v>
      </c>
      <c r="G108" s="15"/>
      <c r="H108" s="41">
        <f t="shared" si="44"/>
        <v>25</v>
      </c>
      <c r="I108" s="73">
        <f>IF(H108="","",IF($I$8="A",(RANK(H108,H$11:H$333,1)+COUNTIF(H$11:H108,H108)-1),(RANK(H108,H$11:H$333)+COUNTIF(H$11:H108,H108)-1)))</f>
        <v>132</v>
      </c>
      <c r="J108" s="40"/>
      <c r="K108" s="35">
        <f t="shared" si="51"/>
        <v>98</v>
      </c>
      <c r="L108" t="str">
        <f t="shared" si="45"/>
        <v>Wealden</v>
      </c>
      <c r="M108" s="109">
        <f t="shared" si="46"/>
        <v>21</v>
      </c>
      <c r="N108" s="104">
        <f t="shared" si="31"/>
        <v>21</v>
      </c>
      <c r="O108" s="89" t="str">
        <f t="shared" si="32"/>
        <v/>
      </c>
      <c r="P108" s="89" t="str">
        <f t="shared" si="33"/>
        <v/>
      </c>
      <c r="Q108" s="89">
        <f t="shared" si="34"/>
        <v>21</v>
      </c>
      <c r="R108" s="85" t="str">
        <f t="shared" si="35"/>
        <v/>
      </c>
      <c r="S108" s="41" t="str">
        <f t="shared" si="36"/>
        <v/>
      </c>
      <c r="T108" s="166" t="str">
        <f>IF(L108="","",VLOOKUP(L108,classifications!C:K,9,FALSE))</f>
        <v>Sparse</v>
      </c>
      <c r="U108" s="167">
        <f t="shared" si="37"/>
        <v>21</v>
      </c>
      <c r="V108" s="173">
        <f>IF(U108="","",IF($I$8="A",(RANK(U108,U$11:U$333)+COUNTIF(U$11:U108,U108)-1),(RANK(U108,U$11:U$333,1)+COUNTIF(U$11:U108,U108)-1)))</f>
        <v>21</v>
      </c>
      <c r="W108" s="174"/>
      <c r="X108" s="5" t="str">
        <f>IF(L108="","",VLOOKUP($L108,classifications!$C:$J,6,FALSE))</f>
        <v xml:space="preserve">Predominantly Rural </v>
      </c>
      <c r="Y108">
        <f t="shared" si="38"/>
        <v>21</v>
      </c>
      <c r="Z108" s="39">
        <f>IF(Y108="","",IF(I$8="A",(RANK(Y108,Y$11:Y$333,1)+COUNTIF(Y$11:Y108,Y108)-1),(RANK(Y108,Y$11:Y$333)+COUNTIF(Y$11:Y108,Y108)-1)))</f>
        <v>30</v>
      </c>
      <c r="AA108" s="177" t="str">
        <f>IF(L108="","",VLOOKUP($L108,classifications!C:I,7,FALSE))</f>
        <v>Predominantly Rural</v>
      </c>
      <c r="AB108" s="173">
        <f t="shared" si="39"/>
        <v>21</v>
      </c>
      <c r="AC108" s="173">
        <f>IF(AB108="","",IF($I$8="A",(RANK(AB108,AB$11:AB$333)+COUNTIF(AB$11:AB108,AB108)-1),(RANK(AB108,AB$11:AB$333,1)+COUNTIF(AB$11:AB108,AB108)-1)))</f>
        <v>30</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East Sussex</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South East</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25</v>
      </c>
    </row>
    <row r="109" spans="1:50">
      <c r="A109" s="55" t="str">
        <f>$D$1&amp;99</f>
        <v>SD99</v>
      </c>
      <c r="B109" s="56">
        <f>IF(ISERROR(VLOOKUP(A109,classifications!A:C,3,FALSE)),0,VLOOKUP(A109,classifications!A:C,3,FALSE))</f>
        <v>0</v>
      </c>
      <c r="C109" t="s">
        <v>887</v>
      </c>
      <c r="D109" t="str">
        <f>VLOOKUP($C109,classifications!$C:$J,4,FALSE)</f>
        <v>SD</v>
      </c>
      <c r="E109">
        <f>VLOOKUP(C109,classifications!C:K,9,FALSE)</f>
        <v>0</v>
      </c>
      <c r="F109">
        <f t="shared" si="43"/>
        <v>13</v>
      </c>
      <c r="G109" s="15"/>
      <c r="H109" s="41">
        <f t="shared" si="44"/>
        <v>13</v>
      </c>
      <c r="I109" s="73">
        <f>IF(H109="","",IF($I$8="A",(RANK(H109,H$11:H$333,1)+COUNTIF(H$11:H109,H109)-1),(RANK(H109,H$11:H$333)+COUNTIF(H$11:H109,H109)-1)))</f>
        <v>23</v>
      </c>
      <c r="J109" s="40"/>
      <c r="K109" s="35">
        <f t="shared" si="51"/>
        <v>99</v>
      </c>
      <c r="L109" t="str">
        <f t="shared" si="45"/>
        <v>Boston</v>
      </c>
      <c r="M109" s="109">
        <f t="shared" si="46"/>
        <v>22</v>
      </c>
      <c r="N109" s="104">
        <f t="shared" si="31"/>
        <v>22</v>
      </c>
      <c r="O109" s="89" t="str">
        <f t="shared" si="32"/>
        <v/>
      </c>
      <c r="P109" s="89" t="str">
        <f t="shared" si="33"/>
        <v/>
      </c>
      <c r="Q109" s="89">
        <f t="shared" si="34"/>
        <v>22</v>
      </c>
      <c r="R109" s="85" t="str">
        <f t="shared" si="35"/>
        <v/>
      </c>
      <c r="S109" s="41" t="str">
        <f t="shared" si="36"/>
        <v/>
      </c>
      <c r="T109" s="166" t="str">
        <f>IF(L109="","",VLOOKUP(L109,classifications!C:K,9,FALSE))</f>
        <v>Sparse</v>
      </c>
      <c r="U109" s="167">
        <f t="shared" si="37"/>
        <v>22</v>
      </c>
      <c r="V109" s="173">
        <f>IF(U109="","",IF($I$8="A",(RANK(U109,U$11:U$333)+COUNTIF(U$11:U109,U109)-1),(RANK(U109,U$11:U$333,1)+COUNTIF(U$11:U109,U109)-1)))</f>
        <v>16</v>
      </c>
      <c r="W109" s="174"/>
      <c r="X109" s="5" t="str">
        <f>IF(L109="","",VLOOKUP($L109,classifications!$C:$J,6,FALSE))</f>
        <v>Urban with Significant Rural</v>
      </c>
      <c r="Y109" t="str">
        <f t="shared" si="38"/>
        <v/>
      </c>
      <c r="Z109" s="39" t="str">
        <f>IF(Y109="","",IF(I$8="A",(RANK(Y109,Y$11:Y$333,1)+COUNTIF(Y$11:Y109,Y109)-1),(RANK(Y109,Y$11:Y$333)+COUNTIF(Y$11:Y109,Y109)-1)))</f>
        <v/>
      </c>
      <c r="AA109" s="177" t="str">
        <f>IF(L109="","",VLOOKUP($L109,classifications!C:I,7,FALSE))</f>
        <v>Urban with Significant Rural</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Lincolnshire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East Midlands</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13</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28</v>
      </c>
      <c r="G110" s="15"/>
      <c r="H110" s="41">
        <f t="shared" si="44"/>
        <v>28</v>
      </c>
      <c r="I110" s="73">
        <f>IF(H110="","",IF($I$8="A",(RANK(H110,H$11:H$333,1)+COUNTIF(H$11:H110,H110)-1),(RANK(H110,H$11:H$333)+COUNTIF(H$11:H110,H110)-1)))</f>
        <v>145</v>
      </c>
      <c r="J110" s="40"/>
      <c r="K110" s="35">
        <f t="shared" si="51"/>
        <v>100</v>
      </c>
      <c r="L110" t="str">
        <f t="shared" si="45"/>
        <v>Broadland</v>
      </c>
      <c r="M110" s="109">
        <f t="shared" si="46"/>
        <v>22</v>
      </c>
      <c r="N110" s="104">
        <f t="shared" si="31"/>
        <v>22</v>
      </c>
      <c r="O110" s="89" t="str">
        <f t="shared" si="32"/>
        <v/>
      </c>
      <c r="P110" s="89" t="str">
        <f t="shared" si="33"/>
        <v/>
      </c>
      <c r="Q110" s="89">
        <f t="shared" si="34"/>
        <v>22</v>
      </c>
      <c r="R110" s="85" t="str">
        <f t="shared" si="35"/>
        <v/>
      </c>
      <c r="S110" s="41" t="str">
        <f t="shared" si="36"/>
        <v/>
      </c>
      <c r="T110" s="166">
        <f>IF(L110="","",VLOOKUP(L110,classifications!C:K,9,FALSE))</f>
        <v>0</v>
      </c>
      <c r="U110" s="167" t="str">
        <f t="shared" si="37"/>
        <v/>
      </c>
      <c r="V110" s="173" t="str">
        <f>IF(U110="","",IF($I$8="A",(RANK(U110,U$11:U$333)+COUNTIF(U$11:U110,U110)-1),(RANK(U110,U$11:U$333,1)+COUNTIF(U$11:U110,U110)-1)))</f>
        <v/>
      </c>
      <c r="W110" s="174"/>
      <c r="X110" s="5" t="str">
        <f>IF(L110="","",VLOOKUP($L110,classifications!$C:$J,6,FALSE))</f>
        <v>Urban with Significant Rural</v>
      </c>
      <c r="Y110" t="str">
        <f t="shared" si="38"/>
        <v/>
      </c>
      <c r="Z110" s="39" t="str">
        <f>IF(Y110="","",IF(I$8="A",(RANK(Y110,Y$11:Y$333,1)+COUNTIF(Y$11:Y110,Y110)-1),(RANK(Y110,Y$11:Y$333)+COUNTIF(Y$11:Y110,Y110)-1)))</f>
        <v/>
      </c>
      <c r="AA110" s="177" t="str">
        <f>IF(L110="","",VLOOKUP($L110,classifications!C:I,7,FALSE))</f>
        <v>Urban with Significant Rural</v>
      </c>
      <c r="AB110" s="173" t="str">
        <f t="shared" si="39"/>
        <v/>
      </c>
      <c r="AC110" s="173" t="str">
        <f>IF(AB110="","",IF($I$8="A",(RANK(AB110,AB$11:AB$333)+COUNTIF(AB$11:AB110,AB110)-1),(RANK(AB110,AB$11:AB$333,1)+COUNTIF(AB$11:AB110,AB110)-1)))</f>
        <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Norfolk</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East of England</v>
      </c>
      <c r="AQ110" s="42">
        <f t="shared" si="42"/>
        <v>22</v>
      </c>
      <c r="AR110" s="39">
        <f>IF(AQ110="","",IF(I$8="A",(RANK(AQ110,AQ$11:AQ$333,1)+COUNTIF(AQ$11:AQ110,AQ110)-1),(RANK(AQ110,AQ$11:AQ$333)+COUNTIF(AQ$11:AQ110,AQ110)-1)))</f>
        <v>27</v>
      </c>
      <c r="AS110" s="3" t="str">
        <f t="shared" si="54"/>
        <v/>
      </c>
      <c r="AT110" s="39" t="str">
        <f t="shared" si="49"/>
        <v/>
      </c>
      <c r="AU110" s="42" t="str">
        <f t="shared" si="50"/>
        <v/>
      </c>
      <c r="AX110">
        <f>HLOOKUP($AX$9&amp;$AX$10,Data!$A$1:$ZT$1975,(MATCH($C110,Data!$A$1:$A$1975,0)),FALSE)</f>
        <v>28</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16</v>
      </c>
      <c r="G111" s="15"/>
      <c r="H111" s="41">
        <f t="shared" si="44"/>
        <v>16</v>
      </c>
      <c r="I111" s="73">
        <f>IF(H111="","",IF($I$8="A",(RANK(H111,H$11:H$333,1)+COUNTIF(H$11:H111,H111)-1),(RANK(H111,H$11:H$333)+COUNTIF(H$11:H111,H111)-1)))</f>
        <v>45</v>
      </c>
      <c r="J111" s="40"/>
      <c r="K111" s="35">
        <f t="shared" si="51"/>
        <v>101</v>
      </c>
      <c r="L111" t="str">
        <f t="shared" si="45"/>
        <v>Crawley</v>
      </c>
      <c r="M111" s="109">
        <f t="shared" si="46"/>
        <v>22</v>
      </c>
      <c r="N111" s="104">
        <f t="shared" si="31"/>
        <v>22</v>
      </c>
      <c r="O111" s="89" t="str">
        <f t="shared" si="32"/>
        <v/>
      </c>
      <c r="P111" s="89" t="str">
        <f t="shared" si="33"/>
        <v/>
      </c>
      <c r="Q111" s="89">
        <f t="shared" si="34"/>
        <v>22</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Predominantly Urban</v>
      </c>
      <c r="Y111" t="str">
        <f t="shared" si="38"/>
        <v/>
      </c>
      <c r="Z111" s="39" t="str">
        <f>IF(Y111="","",IF(I$8="A",(RANK(Y111,Y$11:Y$333,1)+COUNTIF(Y$11:Y111,Y111)-1),(RANK(Y111,Y$11:Y$333)+COUNTIF(Y$11:Y111,Y111)-1)))</f>
        <v/>
      </c>
      <c r="AA111" s="177" t="str">
        <f>IF(L111="","",VLOOKUP($L111,classifications!C:I,7,FALSE))</f>
        <v>Predominantly Urban</v>
      </c>
      <c r="AB111" s="173" t="str">
        <f t="shared" si="39"/>
        <v/>
      </c>
      <c r="AC111" s="173" t="str">
        <f>IF(AB111="","",IF($I$8="A",(RANK(AB111,AB$11:AB$333)+COUNTIF(AB$11:AB111,AB111)-1),(RANK(AB111,AB$11:AB$333,1)+COUNTIF(AB$11:AB111,AB111)-1)))</f>
        <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West Sussex</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South East</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16</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14</v>
      </c>
      <c r="G112" s="15"/>
      <c r="H112" s="41" t="str">
        <f t="shared" si="44"/>
        <v/>
      </c>
      <c r="I112" s="73" t="str">
        <f>IF(H112="","",IF($I$8="A",(RANK(H112,H$11:H$333,1)+COUNTIF(H$11:H112,H112)-1),(RANK(H112,H$11:H$333)+COUNTIF(H$11:H112,H112)-1)))</f>
        <v/>
      </c>
      <c r="J112" s="40"/>
      <c r="K112" s="35">
        <f t="shared" si="51"/>
        <v>102</v>
      </c>
      <c r="L112" t="str">
        <f t="shared" si="45"/>
        <v>East Cambridgeshire</v>
      </c>
      <c r="M112" s="109">
        <f t="shared" si="46"/>
        <v>22</v>
      </c>
      <c r="N112" s="104">
        <f t="shared" si="31"/>
        <v>22</v>
      </c>
      <c r="O112" s="89" t="str">
        <f t="shared" si="32"/>
        <v/>
      </c>
      <c r="P112" s="89" t="str">
        <f t="shared" si="33"/>
        <v/>
      </c>
      <c r="Q112" s="89">
        <f t="shared" si="34"/>
        <v>22</v>
      </c>
      <c r="R112" s="85" t="str">
        <f t="shared" si="35"/>
        <v/>
      </c>
      <c r="S112" s="41" t="str">
        <f t="shared" si="36"/>
        <v/>
      </c>
      <c r="T112" s="166" t="str">
        <f>IF(L112="","",VLOOKUP(L112,classifications!C:K,9,FALSE))</f>
        <v>Sparse</v>
      </c>
      <c r="U112" s="167">
        <f t="shared" si="37"/>
        <v>22</v>
      </c>
      <c r="V112" s="173">
        <f>IF(U112="","",IF($I$8="A",(RANK(U112,U$11:U$333)+COUNTIF(U$11:U112,U112)-1),(RANK(U112,U$11:U$333,1)+COUNTIF(U$11:U112,U112)-1)))</f>
        <v>17</v>
      </c>
      <c r="W112" s="174"/>
      <c r="X112" s="5" t="str">
        <f>IF(L112="","",VLOOKUP($L112,classifications!$C:$J,6,FALSE))</f>
        <v xml:space="preserve">Predominantly Rural </v>
      </c>
      <c r="Y112">
        <f t="shared" si="38"/>
        <v>22</v>
      </c>
      <c r="Z112" s="39">
        <f>IF(Y112="","",IF(I$8="A",(RANK(Y112,Y$11:Y$333,1)+COUNTIF(Y$11:Y112,Y112)-1),(RANK(Y112,Y$11:Y$333)+COUNTIF(Y$11:Y112,Y112)-1)))</f>
        <v>31</v>
      </c>
      <c r="AA112" s="177" t="str">
        <f>IF(L112="","",VLOOKUP($L112,classifications!C:I,7,FALSE))</f>
        <v>Predominantly Rural</v>
      </c>
      <c r="AB112" s="173">
        <f t="shared" si="39"/>
        <v>22</v>
      </c>
      <c r="AC112" s="173">
        <f>IF(AB112="","",IF($I$8="A",(RANK(AB112,AB$11:AB$333)+COUNTIF(AB$11:AB112,AB112)-1),(RANK(AB112,AB$11:AB$333,1)+COUNTIF(AB$11:AB112,AB112)-1)))</f>
        <v>25</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Cambridgeshire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of England</v>
      </c>
      <c r="AQ112" s="42">
        <f t="shared" si="42"/>
        <v>22</v>
      </c>
      <c r="AR112" s="39">
        <f>IF(AQ112="","",IF(I$8="A",(RANK(AQ112,AQ$11:AQ$333,1)+COUNTIF(AQ$11:AQ112,AQ112)-1),(RANK(AQ112,AQ$11:AQ$333)+COUNTIF(AQ$11:AQ112,AQ112)-1)))</f>
        <v>28</v>
      </c>
      <c r="AS112" s="3" t="str">
        <f t="shared" si="54"/>
        <v/>
      </c>
      <c r="AT112" s="39" t="str">
        <f t="shared" si="49"/>
        <v/>
      </c>
      <c r="AU112" s="42" t="str">
        <f t="shared" si="50"/>
        <v/>
      </c>
      <c r="AX112">
        <f>HLOOKUP($AX$9&amp;$AX$10,Data!$A$1:$ZT$1975,(MATCH($C112,Data!$A$1:$A$1975,0)),FALSE)</f>
        <v>14</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19</v>
      </c>
      <c r="G113" s="15"/>
      <c r="H113" s="41">
        <f t="shared" si="44"/>
        <v>19</v>
      </c>
      <c r="I113" s="73">
        <f>IF(H113="","",IF($I$8="A",(RANK(H113,H$11:H$333,1)+COUNTIF(H$11:H113,H113)-1),(RANK(H113,H$11:H$333)+COUNTIF(H$11:H113,H113)-1)))</f>
        <v>76</v>
      </c>
      <c r="J113" s="40"/>
      <c r="K113" s="35">
        <f t="shared" si="51"/>
        <v>103</v>
      </c>
      <c r="L113" t="str">
        <f t="shared" si="45"/>
        <v>Maldon</v>
      </c>
      <c r="M113" s="109">
        <f t="shared" si="46"/>
        <v>22</v>
      </c>
      <c r="N113" s="104">
        <f t="shared" si="31"/>
        <v>22</v>
      </c>
      <c r="O113" s="89" t="str">
        <f t="shared" si="32"/>
        <v/>
      </c>
      <c r="P113" s="89" t="str">
        <f t="shared" si="33"/>
        <v/>
      </c>
      <c r="Q113" s="89">
        <f t="shared" si="34"/>
        <v>22</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 xml:space="preserve">Predominantly Rural </v>
      </c>
      <c r="Y113">
        <f t="shared" si="38"/>
        <v>22</v>
      </c>
      <c r="Z113" s="39">
        <f>IF(Y113="","",IF(I$8="A",(RANK(Y113,Y$11:Y$333,1)+COUNTIF(Y$11:Y113,Y113)-1),(RANK(Y113,Y$11:Y$333)+COUNTIF(Y$11:Y113,Y113)-1)))</f>
        <v>32</v>
      </c>
      <c r="AA113" s="177" t="str">
        <f>IF(L113="","",VLOOKUP($L113,classifications!C:I,7,FALSE))</f>
        <v>Predominantly Rural</v>
      </c>
      <c r="AB113" s="173">
        <f t="shared" si="39"/>
        <v>22</v>
      </c>
      <c r="AC113" s="173">
        <f>IF(AB113="","",IF($I$8="A",(RANK(AB113,AB$11:AB$333)+COUNTIF(AB$11:AB113,AB113)-1),(RANK(AB113,AB$11:AB$333,1)+COUNTIF(AB$11:AB113,AB113)-1)))</f>
        <v>26</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Essex</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East of England</v>
      </c>
      <c r="AQ113" s="42">
        <f t="shared" si="42"/>
        <v>22</v>
      </c>
      <c r="AR113" s="39">
        <f>IF(AQ113="","",IF(I$8="A",(RANK(AQ113,AQ$11:AQ$333,1)+COUNTIF(AQ$11:AQ113,AQ113)-1),(RANK(AQ113,AQ$11:AQ$333)+COUNTIF(AQ$11:AQ113,AQ113)-1)))</f>
        <v>29</v>
      </c>
      <c r="AS113" s="3" t="str">
        <f t="shared" si="54"/>
        <v/>
      </c>
      <c r="AT113" s="39" t="str">
        <f t="shared" si="49"/>
        <v/>
      </c>
      <c r="AU113" s="42" t="str">
        <f t="shared" si="50"/>
        <v/>
      </c>
      <c r="AX113">
        <f>HLOOKUP($AX$9&amp;$AX$10,Data!$A$1:$ZT$1975,(MATCH($C113,Data!$A$1:$A$1975,0)),FALSE)</f>
        <v>19</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t="str">
        <f t="shared" si="43"/>
        <v>..</v>
      </c>
      <c r="G114" s="15"/>
      <c r="H114" s="41" t="str">
        <f t="shared" si="44"/>
        <v>..</v>
      </c>
      <c r="I114" s="73" t="e">
        <f>IF(H114="","",IF($I$8="A",(RANK(H114,H$11:H$333,1)+COUNTIF(H$11:H114,H114)-1),(RANK(H114,H$11:H$333)+COUNTIF(H$11:H114,H114)-1)))</f>
        <v>#VALUE!</v>
      </c>
      <c r="J114" s="40"/>
      <c r="K114" s="35">
        <f t="shared" si="51"/>
        <v>104</v>
      </c>
      <c r="L114" t="str">
        <f t="shared" si="45"/>
        <v>Melton</v>
      </c>
      <c r="M114" s="109">
        <f t="shared" si="46"/>
        <v>22</v>
      </c>
      <c r="N114" s="104">
        <f t="shared" si="31"/>
        <v>22</v>
      </c>
      <c r="O114" s="89" t="str">
        <f t="shared" si="32"/>
        <v/>
      </c>
      <c r="P114" s="89" t="str">
        <f t="shared" si="33"/>
        <v/>
      </c>
      <c r="Q114" s="89">
        <f t="shared" si="34"/>
        <v>22</v>
      </c>
      <c r="R114" s="85" t="str">
        <f t="shared" si="35"/>
        <v/>
      </c>
      <c r="S114" s="41" t="str">
        <f t="shared" si="36"/>
        <v/>
      </c>
      <c r="T114" s="166" t="str">
        <f>IF(L114="","",VLOOKUP(L114,classifications!C:K,9,FALSE))</f>
        <v>Sparse</v>
      </c>
      <c r="U114" s="167">
        <f t="shared" si="37"/>
        <v>22</v>
      </c>
      <c r="V114" s="173">
        <f>IF(U114="","",IF($I$8="A",(RANK(U114,U$11:U$333)+COUNTIF(U$11:U114,U114)-1),(RANK(U114,U$11:U$333,1)+COUNTIF(U$11:U114,U114)-1)))</f>
        <v>18</v>
      </c>
      <c r="W114" s="174"/>
      <c r="X114" s="5" t="str">
        <f>IF(L114="","",VLOOKUP($L114,classifications!$C:$J,6,FALSE))</f>
        <v xml:space="preserve">Predominantly Rural </v>
      </c>
      <c r="Y114">
        <f t="shared" si="38"/>
        <v>22</v>
      </c>
      <c r="Z114" s="39">
        <f>IF(Y114="","",IF(I$8="A",(RANK(Y114,Y$11:Y$333,1)+COUNTIF(Y$11:Y114,Y114)-1),(RANK(Y114,Y$11:Y$333)+COUNTIF(Y$11:Y114,Y114)-1)))</f>
        <v>33</v>
      </c>
      <c r="AA114" s="177" t="str">
        <f>IF(L114="","",VLOOKUP($L114,classifications!C:I,7,FALSE))</f>
        <v>Predominantly Rural</v>
      </c>
      <c r="AB114" s="173">
        <f t="shared" si="39"/>
        <v>22</v>
      </c>
      <c r="AC114" s="173">
        <f>IF(AB114="","",IF($I$8="A",(RANK(AB114,AB$11:AB$333)+COUNTIF(AB$11:AB114,AB114)-1),(RANK(AB114,AB$11:AB$333,1)+COUNTIF(AB$11:AB114,AB114)-1)))</f>
        <v>27</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Leicestershire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East Midlands</v>
      </c>
      <c r="AQ114" s="42" t="str">
        <f t="shared" si="42"/>
        <v/>
      </c>
      <c r="AR114" s="39" t="str">
        <f>IF(AQ114="","",IF(I$8="A",(RANK(AQ114,AQ$11:AQ$333,1)+COUNTIF(AQ$11:AQ114,AQ114)-1),(RANK(AQ114,AQ$11:AQ$333)+COUNTIF(AQ$11:AQ114,AQ114)-1)))</f>
        <v/>
      </c>
      <c r="AS114" s="3" t="str">
        <f t="shared" si="54"/>
        <v/>
      </c>
      <c r="AT114" s="39" t="str">
        <f t="shared" si="49"/>
        <v/>
      </c>
      <c r="AU114" s="42" t="str">
        <f t="shared" si="50"/>
        <v/>
      </c>
      <c r="AX114" t="str">
        <f>HLOOKUP($AX$9&amp;$AX$10,Data!$A$1:$ZT$1975,(MATCH($C114,Data!$A$1:$A$1975,0)),FALSE)</f>
        <v>..</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North East Derbyshire</v>
      </c>
      <c r="M115" s="109">
        <f t="shared" si="46"/>
        <v>22</v>
      </c>
      <c r="N115" s="104">
        <f t="shared" si="31"/>
        <v>22</v>
      </c>
      <c r="O115" s="89" t="str">
        <f t="shared" si="32"/>
        <v/>
      </c>
      <c r="P115" s="89" t="str">
        <f t="shared" si="33"/>
        <v/>
      </c>
      <c r="Q115" s="89">
        <f t="shared" si="34"/>
        <v>22</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Predominantly Urban</v>
      </c>
      <c r="Y115" t="str">
        <f t="shared" si="38"/>
        <v/>
      </c>
      <c r="Z115" s="39" t="str">
        <f>IF(Y115="","",IF(I$8="A",(RANK(Y115,Y$11:Y$333,1)+COUNTIF(Y$11:Y115,Y115)-1),(RANK(Y115,Y$11:Y$333)+COUNTIF(Y$11:Y115,Y115)-1)))</f>
        <v/>
      </c>
      <c r="AA115" s="177" t="str">
        <f>IF(L115="","",VLOOKUP($L115,classifications!C:I,7,FALSE))</f>
        <v>Predominantly Urban</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Derbyshire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East Midlands</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16</v>
      </c>
      <c r="G116" s="15"/>
      <c r="H116" s="41">
        <f t="shared" si="44"/>
        <v>16</v>
      </c>
      <c r="I116" s="73">
        <f>IF(H116="","",IF($I$8="A",(RANK(H116,H$11:H$333,1)+COUNTIF(H$11:H116,H116)-1),(RANK(H116,H$11:H$333)+COUNTIF(H$11:H116,H116)-1)))</f>
        <v>46</v>
      </c>
      <c r="J116" s="40"/>
      <c r="K116" s="35">
        <f t="shared" si="51"/>
        <v>106</v>
      </c>
      <c r="L116" t="str">
        <f t="shared" si="45"/>
        <v>Norwich</v>
      </c>
      <c r="M116" s="109">
        <f t="shared" si="46"/>
        <v>22</v>
      </c>
      <c r="N116" s="104">
        <f t="shared" si="31"/>
        <v>22</v>
      </c>
      <c r="O116" s="89" t="str">
        <f t="shared" si="32"/>
        <v/>
      </c>
      <c r="P116" s="89" t="str">
        <f t="shared" si="33"/>
        <v/>
      </c>
      <c r="Q116" s="89">
        <f t="shared" si="34"/>
        <v>22</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Predominantly Urban</v>
      </c>
      <c r="Y116" t="str">
        <f t="shared" si="38"/>
        <v/>
      </c>
      <c r="Z116" s="39" t="str">
        <f>IF(Y116="","",IF(I$8="A",(RANK(Y116,Y$11:Y$333,1)+COUNTIF(Y$11:Y116,Y116)-1),(RANK(Y116,Y$11:Y$333)+COUNTIF(Y$11:Y116,Y116)-1)))</f>
        <v/>
      </c>
      <c r="AA116" s="177" t="str">
        <f>IF(L116="","",VLOOKUP($L116,classifications!C:I,7,FALSE))</f>
        <v>Predominantly Urban</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Norfolk</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East of England</v>
      </c>
      <c r="AQ116" s="42">
        <f t="shared" si="42"/>
        <v>22</v>
      </c>
      <c r="AR116" s="39">
        <f>IF(AQ116="","",IF(I$8="A",(RANK(AQ116,AQ$11:AQ$333,1)+COUNTIF(AQ$11:AQ116,AQ116)-1),(RANK(AQ116,AQ$11:AQ$333)+COUNTIF(AQ$11:AQ116,AQ116)-1)))</f>
        <v>30</v>
      </c>
      <c r="AS116" s="3" t="str">
        <f t="shared" si="54"/>
        <v/>
      </c>
      <c r="AT116" s="39" t="str">
        <f t="shared" si="49"/>
        <v/>
      </c>
      <c r="AU116" s="42" t="str">
        <f t="shared" si="50"/>
        <v/>
      </c>
      <c r="AX116">
        <f>HLOOKUP($AX$9&amp;$AX$10,Data!$A$1:$ZT$1975,(MATCH($C116,Data!$A$1:$A$1975,0)),FALSE)</f>
        <v>16</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18</v>
      </c>
      <c r="G117" s="15"/>
      <c r="H117" s="41">
        <f t="shared" si="44"/>
        <v>18</v>
      </c>
      <c r="I117" s="73">
        <f>IF(H117="","",IF($I$8="A",(RANK(H117,H$11:H$333,1)+COUNTIF(H$11:H117,H117)-1),(RANK(H117,H$11:H$333)+COUNTIF(H$11:H117,H117)-1)))</f>
        <v>64</v>
      </c>
      <c r="J117" s="40"/>
      <c r="K117" s="35">
        <f t="shared" si="51"/>
        <v>107</v>
      </c>
      <c r="L117" t="str">
        <f t="shared" si="45"/>
        <v>Rother</v>
      </c>
      <c r="M117" s="109">
        <f t="shared" si="46"/>
        <v>22</v>
      </c>
      <c r="N117" s="104">
        <f t="shared" si="31"/>
        <v>22</v>
      </c>
      <c r="O117" s="89" t="str">
        <f t="shared" si="32"/>
        <v/>
      </c>
      <c r="P117" s="89" t="str">
        <f t="shared" si="33"/>
        <v/>
      </c>
      <c r="Q117" s="89">
        <f t="shared" si="34"/>
        <v>22</v>
      </c>
      <c r="R117" s="85" t="str">
        <f t="shared" si="35"/>
        <v/>
      </c>
      <c r="S117" s="41" t="str">
        <f t="shared" si="36"/>
        <v/>
      </c>
      <c r="T117" s="166" t="str">
        <f>IF(L117="","",VLOOKUP(L117,classifications!C:K,9,FALSE))</f>
        <v>Sparse</v>
      </c>
      <c r="U117" s="167">
        <f t="shared" si="37"/>
        <v>22</v>
      </c>
      <c r="V117" s="173">
        <f>IF(U117="","",IF($I$8="A",(RANK(U117,U$11:U$333)+COUNTIF(U$11:U117,U117)-1),(RANK(U117,U$11:U$333,1)+COUNTIF(U$11:U117,U117)-1)))</f>
        <v>19</v>
      </c>
      <c r="W117" s="174"/>
      <c r="X117" s="5" t="str">
        <f>IF(L117="","",VLOOKUP($L117,classifications!$C:$J,6,FALSE))</f>
        <v xml:space="preserve">Predominantly Rural </v>
      </c>
      <c r="Y117">
        <f t="shared" si="38"/>
        <v>22</v>
      </c>
      <c r="Z117" s="39">
        <f>IF(Y117="","",IF(I$8="A",(RANK(Y117,Y$11:Y$333,1)+COUNTIF(Y$11:Y117,Y117)-1),(RANK(Y117,Y$11:Y$333)+COUNTIF(Y$11:Y117,Y117)-1)))</f>
        <v>34</v>
      </c>
      <c r="AA117" s="177" t="str">
        <f>IF(L117="","",VLOOKUP($L117,classifications!C:I,7,FALSE))</f>
        <v>Predominantly Rural</v>
      </c>
      <c r="AB117" s="173">
        <f t="shared" si="39"/>
        <v>22</v>
      </c>
      <c r="AC117" s="173">
        <f>IF(AB117="","",IF($I$8="A",(RANK(AB117,AB$11:AB$333)+COUNTIF(AB$11:AB117,AB117)-1),(RANK(AB117,AB$11:AB$333,1)+COUNTIF(AB$11:AB117,AB117)-1)))</f>
        <v>28</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East Sussex</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South East</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18</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14</v>
      </c>
      <c r="G118" s="15"/>
      <c r="H118" s="41">
        <f t="shared" si="44"/>
        <v>14</v>
      </c>
      <c r="I118" s="73">
        <f>IF(H118="","",IF($I$8="A",(RANK(H118,H$11:H$333,1)+COUNTIF(H$11:H118,H118)-1),(RANK(H118,H$11:H$333)+COUNTIF(H$11:H118,H118)-1)))</f>
        <v>34</v>
      </c>
      <c r="J118" s="40"/>
      <c r="K118" s="35">
        <f t="shared" si="51"/>
        <v>108</v>
      </c>
      <c r="L118" t="str">
        <f t="shared" si="45"/>
        <v>Worcester</v>
      </c>
      <c r="M118" s="109">
        <f t="shared" si="46"/>
        <v>22</v>
      </c>
      <c r="N118" s="104">
        <f t="shared" si="31"/>
        <v>22</v>
      </c>
      <c r="O118" s="89" t="str">
        <f t="shared" si="32"/>
        <v/>
      </c>
      <c r="P118" s="89" t="str">
        <f t="shared" si="33"/>
        <v/>
      </c>
      <c r="Q118" s="89">
        <f t="shared" si="34"/>
        <v>22</v>
      </c>
      <c r="R118" s="85" t="str">
        <f t="shared" si="35"/>
        <v/>
      </c>
      <c r="S118" s="41" t="str">
        <f t="shared" si="36"/>
        <v/>
      </c>
      <c r="T118" s="166">
        <f>IF(L118="","",VLOOKUP(L118,classifications!C:K,9,FALSE))</f>
        <v>0</v>
      </c>
      <c r="U118" s="167" t="str">
        <f t="shared" si="37"/>
        <v/>
      </c>
      <c r="V118" s="173" t="str">
        <f>IF(U118="","",IF($I$8="A",(RANK(U118,U$11:U$333)+COUNTIF(U$11:U118,U118)-1),(RANK(U118,U$11:U$333,1)+COUNTIF(U$11:U118,U118)-1)))</f>
        <v/>
      </c>
      <c r="W118" s="174"/>
      <c r="X118" s="5" t="str">
        <f>IF(L118="","",VLOOKUP($L118,classifications!$C:$J,6,FALSE))</f>
        <v>Predominantly Urban</v>
      </c>
      <c r="Y118" t="str">
        <f t="shared" si="38"/>
        <v/>
      </c>
      <c r="Z118" s="39" t="str">
        <f>IF(Y118="","",IF(I$8="A",(RANK(Y118,Y$11:Y$333,1)+COUNTIF(Y$11:Y118,Y118)-1),(RANK(Y118,Y$11:Y$333)+COUNTIF(Y$11:Y118,Y118)-1)))</f>
        <v/>
      </c>
      <c r="AA118" s="177" t="str">
        <f>IF(L118="","",VLOOKUP($L118,classifications!C:I,7,FALSE))</f>
        <v>Predominantly Urban</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Worcestershire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West Midlands</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14</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22</v>
      </c>
      <c r="G119" s="15"/>
      <c r="H119" s="41" t="str">
        <f t="shared" si="44"/>
        <v/>
      </c>
      <c r="I119" s="73" t="str">
        <f>IF(H119="","",IF($I$8="A",(RANK(H119,H$11:H$333,1)+COUNTIF(H$11:H119,H119)-1),(RANK(H119,H$11:H$333)+COUNTIF(H$11:H119,H119)-1)))</f>
        <v/>
      </c>
      <c r="J119" s="40"/>
      <c r="K119" s="35">
        <f t="shared" si="51"/>
        <v>109</v>
      </c>
      <c r="L119" t="str">
        <f t="shared" si="45"/>
        <v>Wyre Forest</v>
      </c>
      <c r="M119" s="109">
        <f t="shared" si="46"/>
        <v>22</v>
      </c>
      <c r="N119" s="104">
        <f t="shared" si="31"/>
        <v>22</v>
      </c>
      <c r="O119" s="89" t="str">
        <f t="shared" si="32"/>
        <v/>
      </c>
      <c r="P119" s="89" t="str">
        <f t="shared" si="33"/>
        <v/>
      </c>
      <c r="Q119" s="89">
        <f t="shared" si="34"/>
        <v>22</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Urban with Significant Rural</v>
      </c>
      <c r="Y119" t="str">
        <f t="shared" si="38"/>
        <v/>
      </c>
      <c r="Z119" s="39" t="str">
        <f>IF(Y119="","",IF(I$8="A",(RANK(Y119,Y$11:Y$333,1)+COUNTIF(Y$11:Y119,Y119)-1),(RANK(Y119,Y$11:Y$333)+COUNTIF(Y$11:Y119,Y119)-1)))</f>
        <v/>
      </c>
      <c r="AA119" s="177" t="str">
        <f>IF(L119="","",VLOOKUP($L119,classifications!C:I,7,FALSE))</f>
        <v>Urban with Significant Rural</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Worcestershire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West Midlands</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22</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19</v>
      </c>
      <c r="G120" s="15"/>
      <c r="H120" s="41">
        <f t="shared" si="44"/>
        <v>19</v>
      </c>
      <c r="I120" s="73">
        <f>IF(H120="","",IF($I$8="A",(RANK(H120,H$11:H$333,1)+COUNTIF(H$11:H120,H120)-1),(RANK(H120,H$11:H$333)+COUNTIF(H$11:H120,H120)-1)))</f>
        <v>77</v>
      </c>
      <c r="J120" s="40"/>
      <c r="K120" s="35">
        <f t="shared" si="51"/>
        <v>110</v>
      </c>
      <c r="L120" t="str">
        <f t="shared" si="45"/>
        <v>Bromsgrove</v>
      </c>
      <c r="M120" s="109">
        <f t="shared" si="46"/>
        <v>23</v>
      </c>
      <c r="N120" s="104">
        <f t="shared" si="31"/>
        <v>23</v>
      </c>
      <c r="O120" s="89" t="str">
        <f t="shared" si="32"/>
        <v/>
      </c>
      <c r="P120" s="89" t="str">
        <f t="shared" si="33"/>
        <v/>
      </c>
      <c r="Q120" s="89">
        <f t="shared" si="34"/>
        <v>23</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Predominantly Urban</v>
      </c>
      <c r="Y120" t="str">
        <f t="shared" si="38"/>
        <v/>
      </c>
      <c r="Z120" s="39" t="str">
        <f>IF(Y120="","",IF(I$8="A",(RANK(Y120,Y$11:Y$333,1)+COUNTIF(Y$11:Y120,Y120)-1),(RANK(Y120,Y$11:Y$333)+COUNTIF(Y$11:Y120,Y120)-1)))</f>
        <v/>
      </c>
      <c r="AA120" s="177" t="str">
        <f>IF(L120="","",VLOOKUP($L120,classifications!C:I,7,FALSE))</f>
        <v>Predominantly Urban</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Worcestershire</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West Midlands</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19</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11</v>
      </c>
      <c r="G121" s="15"/>
      <c r="H121" s="41" t="str">
        <f t="shared" si="44"/>
        <v/>
      </c>
      <c r="I121" s="73" t="str">
        <f>IF(H121="","",IF($I$8="A",(RANK(H121,H$11:H$333,1)+COUNTIF(H$11:H121,H121)-1),(RANK(H121,H$11:H$333)+COUNTIF(H$11:H121,H121)-1)))</f>
        <v/>
      </c>
      <c r="J121" s="40"/>
      <c r="K121" s="35">
        <f t="shared" si="51"/>
        <v>111</v>
      </c>
      <c r="L121" t="str">
        <f t="shared" si="45"/>
        <v>Hinckley &amp; Bosworth</v>
      </c>
      <c r="M121" s="109">
        <f t="shared" si="46"/>
        <v>23</v>
      </c>
      <c r="N121" s="104">
        <f t="shared" si="31"/>
        <v>23</v>
      </c>
      <c r="O121" s="89" t="str">
        <f t="shared" si="32"/>
        <v/>
      </c>
      <c r="P121" s="89" t="str">
        <f t="shared" si="33"/>
        <v/>
      </c>
      <c r="Q121" s="89">
        <f t="shared" si="34"/>
        <v>23</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 xml:space="preserve">Predominantly Rural </v>
      </c>
      <c r="Y121">
        <f t="shared" si="38"/>
        <v>23</v>
      </c>
      <c r="Z121" s="39">
        <f>IF(Y121="","",IF(I$8="A",(RANK(Y121,Y$11:Y$333,1)+COUNTIF(Y$11:Y121,Y121)-1),(RANK(Y121,Y$11:Y$333)+COUNTIF(Y$11:Y121,Y121)-1)))</f>
        <v>35</v>
      </c>
      <c r="AA121" s="177" t="str">
        <f>IF(L121="","",VLOOKUP($L121,classifications!C:I,7,FALSE))</f>
        <v>Predominantly Rural</v>
      </c>
      <c r="AB121" s="173">
        <f t="shared" si="39"/>
        <v>23</v>
      </c>
      <c r="AC121" s="173">
        <f>IF(AB121="","",IF($I$8="A",(RANK(AB121,AB$11:AB$333)+COUNTIF(AB$11:AB121,AB121)-1),(RANK(AB121,AB$11:AB$333,1)+COUNTIF(AB$11:AB121,AB121)-1)))</f>
        <v>20</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Leicestershire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East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11</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30</v>
      </c>
      <c r="G122" s="15"/>
      <c r="H122" s="41" t="str">
        <f t="shared" si="44"/>
        <v/>
      </c>
      <c r="I122" s="73" t="str">
        <f>IF(H122="","",IF($I$8="A",(RANK(H122,H$11:H$333,1)+COUNTIF(H$11:H122,H122)-1),(RANK(H122,H$11:H$333)+COUNTIF(H$11:H122,H122)-1)))</f>
        <v/>
      </c>
      <c r="J122" s="40"/>
      <c r="K122" s="35">
        <f t="shared" si="51"/>
        <v>112</v>
      </c>
      <c r="L122" t="str">
        <f t="shared" si="45"/>
        <v>Hyndburn</v>
      </c>
      <c r="M122" s="109">
        <f t="shared" si="46"/>
        <v>23</v>
      </c>
      <c r="N122" s="104">
        <f t="shared" ref="N122:N185" si="55">IF(L122="","",IF($H$8="%%",M122*100,M122))</f>
        <v>23</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23</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Predominantly Urban</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Predominantly Urban</v>
      </c>
      <c r="AB122" s="173" t="str">
        <f t="shared" ref="AB122:AB185" si="63">IF(AA122=$J$3,M122,"")</f>
        <v/>
      </c>
      <c r="AC122" s="173" t="str">
        <f>IF(AB122="","",IF($I$8="A",(RANK(AB122,AB$11:AB$333)+COUNTIF(AB$11:AB122,AB122)-1),(RANK(AB122,AB$11:AB$333,1)+COUNTIF(AB$11:AB122,AB122)-1)))</f>
        <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Lancashire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North West</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30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21</v>
      </c>
      <c r="G123" s="15"/>
      <c r="H123" s="41" t="str">
        <f t="shared" si="44"/>
        <v/>
      </c>
      <c r="I123" s="73" t="str">
        <f>IF(H123="","",IF($I$8="A",(RANK(H123,H$11:H$333,1)+COUNTIF(H$11:H123,H123)-1),(RANK(H123,H$11:H$333)+COUNTIF(H$11:H123,H123)-1)))</f>
        <v/>
      </c>
      <c r="J123" s="40"/>
      <c r="K123" s="35">
        <f t="shared" si="51"/>
        <v>113</v>
      </c>
      <c r="L123" t="str">
        <f t="shared" si="45"/>
        <v>Malvern Hills</v>
      </c>
      <c r="M123" s="109">
        <f t="shared" si="46"/>
        <v>23</v>
      </c>
      <c r="N123" s="104">
        <f t="shared" si="55"/>
        <v>23</v>
      </c>
      <c r="O123" s="89" t="str">
        <f t="shared" si="56"/>
        <v/>
      </c>
      <c r="P123" s="89" t="str">
        <f t="shared" si="57"/>
        <v/>
      </c>
      <c r="Q123" s="89">
        <f t="shared" si="58"/>
        <v>23</v>
      </c>
      <c r="R123" s="85" t="str">
        <f t="shared" si="59"/>
        <v/>
      </c>
      <c r="S123" s="41" t="str">
        <f t="shared" si="60"/>
        <v/>
      </c>
      <c r="T123" s="166" t="str">
        <f>IF(L123="","",VLOOKUP(L123,classifications!C:K,9,FALSE))</f>
        <v>Sparse</v>
      </c>
      <c r="U123" s="167">
        <f t="shared" si="61"/>
        <v>23</v>
      </c>
      <c r="V123" s="173">
        <f>IF(U123="","",IF($I$8="A",(RANK(U123,U$11:U$333)+COUNTIF(U$11:U123,U123)-1),(RANK(U123,U$11:U$333,1)+COUNTIF(U$11:U123,U123)-1)))</f>
        <v>14</v>
      </c>
      <c r="W123" s="174"/>
      <c r="X123" s="5" t="str">
        <f>IF(L123="","",VLOOKUP($L123,classifications!$C:$J,6,FALSE))</f>
        <v xml:space="preserve">Predominantly Rural </v>
      </c>
      <c r="Y123">
        <f t="shared" si="62"/>
        <v>23</v>
      </c>
      <c r="Z123" s="39">
        <f>IF(Y123="","",IF(I$8="A",(RANK(Y123,Y$11:Y$333,1)+COUNTIF(Y$11:Y123,Y123)-1),(RANK(Y123,Y$11:Y$333)+COUNTIF(Y$11:Y123,Y123)-1)))</f>
        <v>36</v>
      </c>
      <c r="AA123" s="177" t="str">
        <f>IF(L123="","",VLOOKUP($L123,classifications!C:I,7,FALSE))</f>
        <v>Predominantly Rural</v>
      </c>
      <c r="AB123" s="173">
        <f t="shared" si="63"/>
        <v>23</v>
      </c>
      <c r="AC123" s="173">
        <f>IF(AB123="","",IF($I$8="A",(RANK(AB123,AB$11:AB$333)+COUNTIF(AB$11:AB123,AB123)-1),(RANK(AB123,AB$11:AB$333,1)+COUNTIF(AB$11:AB123,AB123)-1)))</f>
        <v>21</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Worcestershire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West Midlands</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21</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Mole Valley</v>
      </c>
      <c r="M124" s="109">
        <f t="shared" si="46"/>
        <v>23</v>
      </c>
      <c r="N124" s="104">
        <f t="shared" si="55"/>
        <v>23</v>
      </c>
      <c r="O124" s="89" t="str">
        <f t="shared" si="56"/>
        <v/>
      </c>
      <c r="P124" s="89" t="str">
        <f t="shared" si="57"/>
        <v/>
      </c>
      <c r="Q124" s="89">
        <f t="shared" si="58"/>
        <v>23</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Surrey</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South East</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24</v>
      </c>
      <c r="G125" s="15"/>
      <c r="H125" s="41">
        <f t="shared" si="44"/>
        <v>24</v>
      </c>
      <c r="I125" s="73">
        <f>IF(H125="","",IF($I$8="A",(RANK(H125,H$11:H$333,1)+COUNTIF(H$11:H125,H125)-1),(RANK(H125,H$11:H$333)+COUNTIF(H$11:H125,H125)-1)))</f>
        <v>123</v>
      </c>
      <c r="J125" s="40"/>
      <c r="K125" s="35">
        <f t="shared" si="51"/>
        <v>115</v>
      </c>
      <c r="L125" t="str">
        <f t="shared" si="45"/>
        <v>Oxford</v>
      </c>
      <c r="M125" s="109">
        <f t="shared" si="46"/>
        <v>23</v>
      </c>
      <c r="N125" s="104">
        <f t="shared" si="55"/>
        <v>23</v>
      </c>
      <c r="O125" s="89" t="str">
        <f t="shared" si="56"/>
        <v/>
      </c>
      <c r="P125" s="89" t="str">
        <f t="shared" si="57"/>
        <v/>
      </c>
      <c r="Q125" s="89">
        <f t="shared" si="58"/>
        <v>23</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Oxfordshire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South East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24</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26</v>
      </c>
      <c r="G126" s="15"/>
      <c r="H126" s="41" t="str">
        <f t="shared" si="44"/>
        <v/>
      </c>
      <c r="I126" s="73" t="str">
        <f>IF(H126="","",IF($I$8="A",(RANK(H126,H$11:H$333,1)+COUNTIF(H$11:H126,H126)-1),(RANK(H126,H$11:H$333)+COUNTIF(H$11:H126,H126)-1)))</f>
        <v/>
      </c>
      <c r="J126" s="40"/>
      <c r="K126" s="35">
        <f t="shared" si="51"/>
        <v>116</v>
      </c>
      <c r="L126" t="str">
        <f t="shared" si="45"/>
        <v>Redditch</v>
      </c>
      <c r="M126" s="109">
        <f t="shared" si="46"/>
        <v>23</v>
      </c>
      <c r="N126" s="104">
        <f t="shared" si="55"/>
        <v>23</v>
      </c>
      <c r="O126" s="89" t="str">
        <f t="shared" si="56"/>
        <v/>
      </c>
      <c r="P126" s="89" t="str">
        <f t="shared" si="57"/>
        <v/>
      </c>
      <c r="Q126" s="89">
        <f t="shared" si="58"/>
        <v>23</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Predominantly Urban</v>
      </c>
      <c r="Y126" t="str">
        <f t="shared" si="62"/>
        <v/>
      </c>
      <c r="Z126" s="39" t="str">
        <f>IF(Y126="","",IF(I$8="A",(RANK(Y126,Y$11:Y$333,1)+COUNTIF(Y$11:Y126,Y126)-1),(RANK(Y126,Y$11:Y$333)+COUNTIF(Y$11:Y126,Y126)-1)))</f>
        <v/>
      </c>
      <c r="AA126" s="177" t="str">
        <f>IF(L126="","",VLOOKUP($L126,classifications!C:I,7,FALSE))</f>
        <v>Predominantly Urban</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Worcestershire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West Midlands</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26</v>
      </c>
      <c r="G127" s="15"/>
      <c r="H127" s="41">
        <f t="shared" si="44"/>
        <v>26</v>
      </c>
      <c r="I127" s="73">
        <f>IF(H127="","",IF($I$8="A",(RANK(H127,H$11:H$333,1)+COUNTIF(H$11:H127,H127)-1),(RANK(H127,H$11:H$333)+COUNTIF(H$11:H127,H127)-1)))</f>
        <v>140</v>
      </c>
      <c r="J127" s="40"/>
      <c r="K127" s="35">
        <f t="shared" si="51"/>
        <v>117</v>
      </c>
      <c r="L127" t="str">
        <f t="shared" si="45"/>
        <v>Sevenoaks</v>
      </c>
      <c r="M127" s="109">
        <f t="shared" si="46"/>
        <v>23</v>
      </c>
      <c r="N127" s="104">
        <f t="shared" si="55"/>
        <v>23</v>
      </c>
      <c r="O127" s="89" t="str">
        <f t="shared" si="56"/>
        <v/>
      </c>
      <c r="P127" s="89" t="str">
        <f t="shared" si="57"/>
        <v/>
      </c>
      <c r="Q127" s="89">
        <f t="shared" si="58"/>
        <v>23</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 xml:space="preserve">Predominantly Rural </v>
      </c>
      <c r="Y127">
        <f t="shared" si="62"/>
        <v>23</v>
      </c>
      <c r="Z127" s="39">
        <f>IF(Y127="","",IF(I$8="A",(RANK(Y127,Y$11:Y$333,1)+COUNTIF(Y$11:Y127,Y127)-1),(RANK(Y127,Y$11:Y$333)+COUNTIF(Y$11:Y127,Y127)-1)))</f>
        <v>37</v>
      </c>
      <c r="AA127" s="177" t="str">
        <f>IF(L127="","",VLOOKUP($L127,classifications!C:I,7,FALSE))</f>
        <v>Predominantly Rural</v>
      </c>
      <c r="AB127" s="173">
        <f t="shared" si="63"/>
        <v>23</v>
      </c>
      <c r="AC127" s="173">
        <f>IF(AB127="","",IF($I$8="A",(RANK(AB127,AB$11:AB$333)+COUNTIF(AB$11:AB127,AB127)-1),(RANK(AB127,AB$11:AB$333,1)+COUNTIF(AB$11:AB127,AB127)-1)))</f>
        <v>22</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Kent</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South East</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26</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22</v>
      </c>
      <c r="G128" s="15"/>
      <c r="H128" s="41" t="str">
        <f t="shared" si="44"/>
        <v/>
      </c>
      <c r="I128" s="73" t="str">
        <f>IF(H128="","",IF($I$8="A",(RANK(H128,H$11:H$333,1)+COUNTIF(H$11:H128,H128)-1),(RANK(H128,H$11:H$333)+COUNTIF(H$11:H128,H128)-1)))</f>
        <v/>
      </c>
      <c r="J128" s="40"/>
      <c r="K128" s="35">
        <f t="shared" si="51"/>
        <v>118</v>
      </c>
      <c r="L128" t="str">
        <f t="shared" si="45"/>
        <v>South Derbyshire</v>
      </c>
      <c r="M128" s="109">
        <f t="shared" si="46"/>
        <v>23</v>
      </c>
      <c r="N128" s="104">
        <f t="shared" si="55"/>
        <v>23</v>
      </c>
      <c r="O128" s="89" t="str">
        <f t="shared" si="56"/>
        <v/>
      </c>
      <c r="P128" s="89" t="str">
        <f t="shared" si="57"/>
        <v/>
      </c>
      <c r="Q128" s="89">
        <f t="shared" si="58"/>
        <v>23</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Urban with Significant Rural</v>
      </c>
      <c r="Y128" t="str">
        <f t="shared" si="62"/>
        <v/>
      </c>
      <c r="Z128" s="39" t="str">
        <f>IF(Y128="","",IF(I$8="A",(RANK(Y128,Y$11:Y$333,1)+COUNTIF(Y$11:Y128,Y128)-1),(RANK(Y128,Y$11:Y$333)+COUNTIF(Y$11:Y128,Y128)-1)))</f>
        <v/>
      </c>
      <c r="AA128" s="177" t="str">
        <f>IF(L128="","",VLOOKUP($L128,classifications!C:I,7,FALSE))</f>
        <v>Urban with Significant Rural</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Derbyshire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Midlands</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22</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15</v>
      </c>
      <c r="G129" s="15"/>
      <c r="H129" s="41">
        <f t="shared" si="44"/>
        <v>15</v>
      </c>
      <c r="I129" s="73">
        <f>IF(H129="","",IF($I$8="A",(RANK(H129,H$11:H$333,1)+COUNTIF(H$11:H129,H129)-1),(RANK(H129,H$11:H$333)+COUNTIF(H$11:H129,H129)-1)))</f>
        <v>40</v>
      </c>
      <c r="J129" s="40"/>
      <c r="K129" s="35">
        <f t="shared" si="51"/>
        <v>119</v>
      </c>
      <c r="L129" t="str">
        <f t="shared" si="45"/>
        <v>Torridge</v>
      </c>
      <c r="M129" s="109">
        <f t="shared" si="46"/>
        <v>23</v>
      </c>
      <c r="N129" s="104">
        <f t="shared" si="55"/>
        <v>23</v>
      </c>
      <c r="O129" s="89" t="str">
        <f t="shared" si="56"/>
        <v/>
      </c>
      <c r="P129" s="89" t="str">
        <f t="shared" si="57"/>
        <v/>
      </c>
      <c r="Q129" s="89">
        <f t="shared" si="58"/>
        <v>23</v>
      </c>
      <c r="R129" s="85" t="str">
        <f t="shared" si="59"/>
        <v/>
      </c>
      <c r="S129" s="41" t="str">
        <f t="shared" si="60"/>
        <v/>
      </c>
      <c r="T129" s="166" t="str">
        <f>IF(L129="","",VLOOKUP(L129,classifications!C:K,9,FALSE))</f>
        <v>Sparse</v>
      </c>
      <c r="U129" s="167">
        <f t="shared" si="61"/>
        <v>23</v>
      </c>
      <c r="V129" s="173">
        <f>IF(U129="","",IF($I$8="A",(RANK(U129,U$11:U$333)+COUNTIF(U$11:U129,U129)-1),(RANK(U129,U$11:U$333,1)+COUNTIF(U$11:U129,U129)-1)))</f>
        <v>15</v>
      </c>
      <c r="W129" s="174"/>
      <c r="X129" s="5" t="str">
        <f>IF(L129="","",VLOOKUP($L129,classifications!$C:$J,6,FALSE))</f>
        <v xml:space="preserve">Predominantly Rural </v>
      </c>
      <c r="Y129">
        <f t="shared" si="62"/>
        <v>23</v>
      </c>
      <c r="Z129" s="39">
        <f>IF(Y129="","",IF(I$8="A",(RANK(Y129,Y$11:Y$333,1)+COUNTIF(Y$11:Y129,Y129)-1),(RANK(Y129,Y$11:Y$333)+COUNTIF(Y$11:Y129,Y129)-1)))</f>
        <v>38</v>
      </c>
      <c r="AA129" s="177" t="str">
        <f>IF(L129="","",VLOOKUP($L129,classifications!C:I,7,FALSE))</f>
        <v>Predominantly Rural</v>
      </c>
      <c r="AB129" s="173">
        <f t="shared" si="63"/>
        <v>23</v>
      </c>
      <c r="AC129" s="173">
        <f>IF(AB129="","",IF($I$8="A",(RANK(AB129,AB$11:AB$333)+COUNTIF(AB$11:AB129,AB129)-1),(RANK(AB129,AB$11:AB$333,1)+COUNTIF(AB$11:AB129,AB129)-1)))</f>
        <v>23</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Devon</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West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15</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19</v>
      </c>
      <c r="G130" s="15"/>
      <c r="H130" s="41" t="str">
        <f t="shared" si="44"/>
        <v/>
      </c>
      <c r="I130" s="73" t="str">
        <f>IF(H130="","",IF($I$8="A",(RANK(H130,H$11:H$333,1)+COUNTIF(H$11:H130,H130)-1),(RANK(H130,H$11:H$333)+COUNTIF(H$11:H130,H130)-1)))</f>
        <v/>
      </c>
      <c r="J130" s="40"/>
      <c r="K130" s="35">
        <f t="shared" si="51"/>
        <v>120</v>
      </c>
      <c r="L130" t="str">
        <f t="shared" si="45"/>
        <v>Warwick</v>
      </c>
      <c r="M130" s="109">
        <f t="shared" si="46"/>
        <v>23</v>
      </c>
      <c r="N130" s="104">
        <f t="shared" si="55"/>
        <v>23</v>
      </c>
      <c r="O130" s="89" t="str">
        <f t="shared" si="56"/>
        <v/>
      </c>
      <c r="P130" s="89" t="str">
        <f t="shared" si="57"/>
        <v/>
      </c>
      <c r="Q130" s="89">
        <f t="shared" si="58"/>
        <v>23</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Warwickshire</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West Midlands</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19</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18</v>
      </c>
      <c r="G131" s="15"/>
      <c r="H131" s="41">
        <f t="shared" si="44"/>
        <v>18</v>
      </c>
      <c r="I131" s="73">
        <f>IF(H131="","",IF($I$8="A",(RANK(H131,H$11:H$333,1)+COUNTIF(H$11:H131,H131)-1),(RANK(H131,H$11:H$333)+COUNTIF(H$11:H131,H131)-1)))</f>
        <v>65</v>
      </c>
      <c r="J131" s="40"/>
      <c r="K131" s="35">
        <f t="shared" si="51"/>
        <v>121</v>
      </c>
      <c r="L131" t="str">
        <f t="shared" si="45"/>
        <v>West Lancashire</v>
      </c>
      <c r="M131" s="109">
        <f t="shared" si="46"/>
        <v>23</v>
      </c>
      <c r="N131" s="104">
        <f t="shared" si="55"/>
        <v>23</v>
      </c>
      <c r="O131" s="89" t="str">
        <f t="shared" si="56"/>
        <v/>
      </c>
      <c r="P131" s="89" t="str">
        <f t="shared" si="57"/>
        <v/>
      </c>
      <c r="Q131" s="89">
        <f t="shared" si="58"/>
        <v>23</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Urban with Significant Rural</v>
      </c>
      <c r="Y131" t="str">
        <f t="shared" si="62"/>
        <v/>
      </c>
      <c r="Z131" s="39" t="str">
        <f>IF(Y131="","",IF(I$8="A",(RANK(Y131,Y$11:Y$333,1)+COUNTIF(Y$11:Y131,Y131)-1),(RANK(Y131,Y$11:Y$333)+COUNTIF(Y$11:Y131,Y131)-1)))</f>
        <v/>
      </c>
      <c r="AA131" s="177" t="str">
        <f>IF(L131="","",VLOOKUP($L131,classifications!C:I,7,FALSE))</f>
        <v>Urban with Significant Rural</v>
      </c>
      <c r="AB131" s="173" t="str">
        <f t="shared" si="63"/>
        <v/>
      </c>
      <c r="AC131" s="173" t="str">
        <f>IF(AB131="","",IF($I$8="A",(RANK(AB131,AB$11:AB$333)+COUNTIF(AB$11:AB131,AB131)-1),(RANK(AB131,AB$11:AB$333,1)+COUNTIF(AB$11:AB131,AB131)-1)))</f>
        <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Lancashire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North West</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18</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13</v>
      </c>
      <c r="G132" s="15"/>
      <c r="H132" s="41">
        <f t="shared" si="44"/>
        <v>13</v>
      </c>
      <c r="I132" s="73">
        <f>IF(H132="","",IF($I$8="A",(RANK(H132,H$11:H$333,1)+COUNTIF(H$11:H132,H132)-1),(RANK(H132,H$11:H$333)+COUNTIF(H$11:H132,H132)-1)))</f>
        <v>24</v>
      </c>
      <c r="J132" s="40"/>
      <c r="K132" s="35">
        <f t="shared" si="51"/>
        <v>122</v>
      </c>
      <c r="L132" t="str">
        <f t="shared" si="45"/>
        <v>Wyre</v>
      </c>
      <c r="M132" s="109">
        <f t="shared" si="46"/>
        <v>23</v>
      </c>
      <c r="N132" s="104">
        <f t="shared" si="55"/>
        <v>23</v>
      </c>
      <c r="O132" s="89" t="str">
        <f t="shared" si="56"/>
        <v/>
      </c>
      <c r="P132" s="89" t="str">
        <f t="shared" si="57"/>
        <v/>
      </c>
      <c r="Q132" s="89">
        <f t="shared" si="58"/>
        <v>23</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 xml:space="preserve">Predominantly Rural </v>
      </c>
      <c r="Y132">
        <f t="shared" si="62"/>
        <v>23</v>
      </c>
      <c r="Z132" s="39">
        <f>IF(Y132="","",IF(I$8="A",(RANK(Y132,Y$11:Y$333,1)+COUNTIF(Y$11:Y132,Y132)-1),(RANK(Y132,Y$11:Y$333)+COUNTIF(Y$11:Y132,Y132)-1)))</f>
        <v>39</v>
      </c>
      <c r="AA132" s="177" t="str">
        <f>IF(L132="","",VLOOKUP($L132,classifications!C:I,7,FALSE))</f>
        <v>Predominantly Rural</v>
      </c>
      <c r="AB132" s="173">
        <f t="shared" si="63"/>
        <v>23</v>
      </c>
      <c r="AC132" s="173">
        <f>IF(AB132="","",IF($I$8="A",(RANK(AB132,AB$11:AB$333)+COUNTIF(AB$11:AB132,AB132)-1),(RANK(AB132,AB$11:AB$333,1)+COUNTIF(AB$11:AB132,AB132)-1)))</f>
        <v>24</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Lancashire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North West</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13</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31</v>
      </c>
      <c r="G133" s="15"/>
      <c r="H133" s="41" t="str">
        <f t="shared" si="44"/>
        <v/>
      </c>
      <c r="I133" s="73" t="str">
        <f>IF(H133="","",IF($I$8="A",(RANK(H133,H$11:H$333,1)+COUNTIF(H$11:H133,H133)-1),(RANK(H133,H$11:H$333)+COUNTIF(H$11:H133,H133)-1)))</f>
        <v/>
      </c>
      <c r="J133" s="40"/>
      <c r="K133" s="35">
        <f t="shared" si="51"/>
        <v>123</v>
      </c>
      <c r="L133" t="str">
        <f t="shared" si="45"/>
        <v>Harborough</v>
      </c>
      <c r="M133" s="109">
        <f t="shared" si="46"/>
        <v>24</v>
      </c>
      <c r="N133" s="104">
        <f t="shared" si="55"/>
        <v>24</v>
      </c>
      <c r="O133" s="89" t="str">
        <f t="shared" si="56"/>
        <v/>
      </c>
      <c r="P133" s="89" t="str">
        <f t="shared" si="57"/>
        <v/>
      </c>
      <c r="Q133" s="89" t="str">
        <f t="shared" si="58"/>
        <v/>
      </c>
      <c r="R133" s="85">
        <f t="shared" si="59"/>
        <v>24</v>
      </c>
      <c r="S133" s="41" t="str">
        <f t="shared" si="60"/>
        <v/>
      </c>
      <c r="T133" s="166" t="str">
        <f>IF(L133="","",VLOOKUP(L133,classifications!C:K,9,FALSE))</f>
        <v>Sparse</v>
      </c>
      <c r="U133" s="167">
        <f t="shared" si="61"/>
        <v>24</v>
      </c>
      <c r="V133" s="173">
        <f>IF(U133="","",IF($I$8="A",(RANK(U133,U$11:U$333)+COUNTIF(U$11:U133,U133)-1),(RANK(U133,U$11:U$333,1)+COUNTIF(U$11:U133,U133)-1)))</f>
        <v>12</v>
      </c>
      <c r="W133" s="174"/>
      <c r="X133" s="5" t="str">
        <f>IF(L133="","",VLOOKUP($L133,classifications!$C:$J,6,FALSE))</f>
        <v xml:space="preserve">Predominantly Rural </v>
      </c>
      <c r="Y133">
        <f t="shared" si="62"/>
        <v>24</v>
      </c>
      <c r="Z133" s="39">
        <f>IF(Y133="","",IF(I$8="A",(RANK(Y133,Y$11:Y$333,1)+COUNTIF(Y$11:Y133,Y133)-1),(RANK(Y133,Y$11:Y$333)+COUNTIF(Y$11:Y133,Y133)-1)))</f>
        <v>40</v>
      </c>
      <c r="AA133" s="177" t="str">
        <f>IF(L133="","",VLOOKUP($L133,classifications!C:I,7,FALSE))</f>
        <v>Predominantly Rural</v>
      </c>
      <c r="AB133" s="173">
        <f t="shared" si="63"/>
        <v>24</v>
      </c>
      <c r="AC133" s="173">
        <f>IF(AB133="","",IF($I$8="A",(RANK(AB133,AB$11:AB$333)+COUNTIF(AB$11:AB133,AB133)-1),(RANK(AB133,AB$11:AB$333,1)+COUNTIF(AB$11:AB133,AB133)-1)))</f>
        <v>16</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Leicestershire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East Midlands</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31</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29</v>
      </c>
      <c r="G134" s="15"/>
      <c r="H134" s="41" t="str">
        <f t="shared" si="44"/>
        <v/>
      </c>
      <c r="I134" s="73" t="str">
        <f>IF(H134="","",IF($I$8="A",(RANK(H134,H$11:H$333,1)+COUNTIF(H$11:H134,H134)-1),(RANK(H134,H$11:H$333)+COUNTIF(H$11:H134,H134)-1)))</f>
        <v/>
      </c>
      <c r="J134" s="40"/>
      <c r="K134" s="35">
        <f t="shared" si="51"/>
        <v>124</v>
      </c>
      <c r="L134" t="str">
        <f t="shared" si="45"/>
        <v>Huntingdonshire</v>
      </c>
      <c r="M134" s="109">
        <f t="shared" si="46"/>
        <v>24</v>
      </c>
      <c r="N134" s="104">
        <f t="shared" si="55"/>
        <v>24</v>
      </c>
      <c r="O134" s="89" t="str">
        <f t="shared" si="56"/>
        <v/>
      </c>
      <c r="P134" s="89" t="str">
        <f t="shared" si="57"/>
        <v/>
      </c>
      <c r="Q134" s="89" t="str">
        <f t="shared" si="58"/>
        <v/>
      </c>
      <c r="R134" s="85">
        <f t="shared" si="59"/>
        <v>24</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 xml:space="preserve">Predominantly Rural </v>
      </c>
      <c r="Y134">
        <f t="shared" si="62"/>
        <v>24</v>
      </c>
      <c r="Z134" s="39">
        <f>IF(Y134="","",IF(I$8="A",(RANK(Y134,Y$11:Y$333,1)+COUNTIF(Y$11:Y134,Y134)-1),(RANK(Y134,Y$11:Y$333)+COUNTIF(Y$11:Y134,Y134)-1)))</f>
        <v>41</v>
      </c>
      <c r="AA134" s="177" t="str">
        <f>IF(L134="","",VLOOKUP($L134,classifications!C:I,7,FALSE))</f>
        <v>Predominantly Rural</v>
      </c>
      <c r="AB134" s="173">
        <f t="shared" si="63"/>
        <v>24</v>
      </c>
      <c r="AC134" s="173">
        <f>IF(AB134="","",IF($I$8="A",(RANK(AB134,AB$11:AB$333)+COUNTIF(AB$11:AB134,AB134)-1),(RANK(AB134,AB$11:AB$333,1)+COUNTIF(AB$11:AB134,AB134)-1)))</f>
        <v>17</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Cambridgeshire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East of England</v>
      </c>
      <c r="AQ134" s="42">
        <f t="shared" si="66"/>
        <v>24</v>
      </c>
      <c r="AR134" s="39">
        <f>IF(AQ134="","",IF(I$8="A",(RANK(AQ134,AQ$11:AQ$333,1)+COUNTIF(AQ$11:AQ134,AQ134)-1),(RANK(AQ134,AQ$11:AQ$333)+COUNTIF(AQ$11:AQ134,AQ134)-1)))</f>
        <v>31</v>
      </c>
      <c r="AS134" s="3" t="str">
        <f t="shared" si="54"/>
        <v/>
      </c>
      <c r="AT134" s="39" t="str">
        <f t="shared" si="49"/>
        <v/>
      </c>
      <c r="AU134" s="42" t="str">
        <f t="shared" si="50"/>
        <v/>
      </c>
      <c r="AX134">
        <f>HLOOKUP($AX$9&amp;$AX$10,Data!$A$1:$ZT$1975,(MATCH($C134,Data!$A$1:$A$1975,0)),FALSE)</f>
        <v>29</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Oadby &amp; Wigston</v>
      </c>
      <c r="M135" s="109">
        <f t="shared" si="46"/>
        <v>24</v>
      </c>
      <c r="N135" s="104">
        <f t="shared" si="55"/>
        <v>24</v>
      </c>
      <c r="O135" s="89" t="str">
        <f t="shared" si="56"/>
        <v/>
      </c>
      <c r="P135" s="89" t="str">
        <f t="shared" si="57"/>
        <v/>
      </c>
      <c r="Q135" s="89" t="str">
        <f t="shared" si="58"/>
        <v/>
      </c>
      <c r="R135" s="85">
        <f t="shared" si="59"/>
        <v>24</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Leicestershire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East Midlands</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33</v>
      </c>
      <c r="G136" s="15"/>
      <c r="H136" s="41">
        <f t="shared" si="44"/>
        <v>33</v>
      </c>
      <c r="I136" s="73">
        <f>IF(H136="","",IF($I$8="A",(RANK(H136,H$11:H$333,1)+COUNTIF(H$11:H136,H136)-1),(RANK(H136,H$11:H$333)+COUNTIF(H$11:H136,H136)-1)))</f>
        <v>157</v>
      </c>
      <c r="J136" s="40"/>
      <c r="K136" s="35">
        <f t="shared" si="51"/>
        <v>126</v>
      </c>
      <c r="L136" t="str">
        <f t="shared" si="45"/>
        <v>Reigate &amp; Banstead</v>
      </c>
      <c r="M136" s="109">
        <f t="shared" si="46"/>
        <v>24</v>
      </c>
      <c r="N136" s="104">
        <f t="shared" si="55"/>
        <v>24</v>
      </c>
      <c r="O136" s="89" t="str">
        <f t="shared" si="56"/>
        <v/>
      </c>
      <c r="P136" s="89" t="str">
        <f t="shared" si="57"/>
        <v/>
      </c>
      <c r="Q136" s="89" t="str">
        <f t="shared" si="58"/>
        <v/>
      </c>
      <c r="R136" s="85">
        <f t="shared" si="59"/>
        <v>24</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Predominantly Urban</v>
      </c>
      <c r="Y136" t="str">
        <f t="shared" si="62"/>
        <v/>
      </c>
      <c r="Z136" s="39" t="str">
        <f>IF(Y136="","",IF(I$8="A",(RANK(Y136,Y$11:Y$333,1)+COUNTIF(Y$11:Y136,Y136)-1),(RANK(Y136,Y$11:Y$333)+COUNTIF(Y$11:Y136,Y136)-1)))</f>
        <v/>
      </c>
      <c r="AA136" s="177" t="str">
        <f>IF(L136="","",VLOOKUP($L136,classifications!C:I,7,FALSE))</f>
        <v>Predominantly Urban</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Surrey</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33</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9</v>
      </c>
      <c r="G137" s="15"/>
      <c r="H137" s="41">
        <f t="shared" si="44"/>
        <v>9</v>
      </c>
      <c r="I137" s="73">
        <f>IF(H137="","",IF($I$8="A",(RANK(H137,H$11:H$333,1)+COUNTIF(H$11:H137,H137)-1),(RANK(H137,H$11:H$333)+COUNTIF(H$11:H137,H137)-1)))</f>
        <v>8</v>
      </c>
      <c r="J137" s="40"/>
      <c r="K137" s="35">
        <f t="shared" si="51"/>
        <v>127</v>
      </c>
      <c r="L137" t="str">
        <f t="shared" si="45"/>
        <v>Surrey Heath</v>
      </c>
      <c r="M137" s="109">
        <f t="shared" si="46"/>
        <v>24</v>
      </c>
      <c r="N137" s="104">
        <f t="shared" si="55"/>
        <v>24</v>
      </c>
      <c r="O137" s="89" t="str">
        <f t="shared" si="56"/>
        <v/>
      </c>
      <c r="P137" s="89" t="str">
        <f t="shared" si="57"/>
        <v/>
      </c>
      <c r="Q137" s="89" t="str">
        <f t="shared" si="58"/>
        <v/>
      </c>
      <c r="R137" s="85">
        <f t="shared" si="59"/>
        <v>24</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Predominantly Urban</v>
      </c>
      <c r="Y137" t="str">
        <f t="shared" si="62"/>
        <v/>
      </c>
      <c r="Z137" s="39" t="str">
        <f>IF(Y137="","",IF(I$8="A",(RANK(Y137,Y$11:Y$333,1)+COUNTIF(Y$11:Y137,Y137)-1),(RANK(Y137,Y$11:Y$333)+COUNTIF(Y$11:Y137,Y137)-1)))</f>
        <v/>
      </c>
      <c r="AA137" s="177" t="str">
        <f>IF(L137="","",VLOOKUP($L137,classifications!C:I,7,FALSE))</f>
        <v>Predominantly Urban</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Surrey</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South East</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9</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28</v>
      </c>
      <c r="G138" s="15"/>
      <c r="H138" s="41" t="str">
        <f t="shared" si="44"/>
        <v/>
      </c>
      <c r="I138" s="73" t="str">
        <f>IF(H138="","",IF($I$8="A",(RANK(H138,H$11:H$333,1)+COUNTIF(H$11:H138,H138)-1),(RANK(H138,H$11:H$333)+COUNTIF(H$11:H138,H138)-1)))</f>
        <v/>
      </c>
      <c r="J138" s="40"/>
      <c r="K138" s="35">
        <f t="shared" si="51"/>
        <v>128</v>
      </c>
      <c r="L138" t="str">
        <f t="shared" si="45"/>
        <v>Swale</v>
      </c>
      <c r="M138" s="109">
        <f t="shared" si="46"/>
        <v>24</v>
      </c>
      <c r="N138" s="104">
        <f t="shared" si="55"/>
        <v>24</v>
      </c>
      <c r="O138" s="89" t="str">
        <f t="shared" si="56"/>
        <v/>
      </c>
      <c r="P138" s="89" t="str">
        <f t="shared" si="57"/>
        <v/>
      </c>
      <c r="Q138" s="89" t="str">
        <f t="shared" si="58"/>
        <v/>
      </c>
      <c r="R138" s="85">
        <f t="shared" si="59"/>
        <v>24</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 xml:space="preserve">Predominantly Rural </v>
      </c>
      <c r="Y138">
        <f t="shared" si="62"/>
        <v>24</v>
      </c>
      <c r="Z138" s="39">
        <f>IF(Y138="","",IF(I$8="A",(RANK(Y138,Y$11:Y$333,1)+COUNTIF(Y$11:Y138,Y138)-1),(RANK(Y138,Y$11:Y$333)+COUNTIF(Y$11:Y138,Y138)-1)))</f>
        <v>42</v>
      </c>
      <c r="AA138" s="177" t="str">
        <f>IF(L138="","",VLOOKUP($L138,classifications!C:I,7,FALSE))</f>
        <v>Predominantly Rural</v>
      </c>
      <c r="AB138" s="173">
        <f t="shared" si="63"/>
        <v>24</v>
      </c>
      <c r="AC138" s="173">
        <f>IF(AB138="","",IF($I$8="A",(RANK(AB138,AB$11:AB$333)+COUNTIF(AB$11:AB138,AB138)-1),(RANK(AB138,AB$11:AB$333,1)+COUNTIF(AB$11:AB138,AB138)-1)))</f>
        <v>18</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Kent</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South East</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28</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23</v>
      </c>
      <c r="G139" s="15"/>
      <c r="H139" s="41">
        <f t="shared" ref="H139:H202" si="68">IF(D139=$D$1,HLOOKUP($D$6,$AX$10:$ZZ$337,ROW()-9,FALSE),"")</f>
        <v>23</v>
      </c>
      <c r="I139" s="73">
        <f>IF(H139="","",IF($I$8="A",(RANK(H139,H$11:H$333,1)+COUNTIF(H$11:H139,H139)-1),(RANK(H139,H$11:H$333)+COUNTIF(H$11:H139,H139)-1)))</f>
        <v>111</v>
      </c>
      <c r="J139" s="40"/>
      <c r="K139" s="35">
        <f t="shared" si="51"/>
        <v>129</v>
      </c>
      <c r="L139" t="str">
        <f t="shared" ref="L139:L202" si="69">IF(K139="","",INDEX(C$11:C$327,MATCH(K139,I$11:I$333,0)))</f>
        <v>West Suffolk</v>
      </c>
      <c r="M139" s="109">
        <f t="shared" ref="M139:M202" si="70">IF(L139="","",IF(VLOOKUP(L139,C:D,2,FALSE)=$F$3,VLOOKUP(L139,C:H,6,FALSE),""))</f>
        <v>24</v>
      </c>
      <c r="N139" s="104">
        <f t="shared" si="55"/>
        <v>24</v>
      </c>
      <c r="O139" s="89" t="str">
        <f t="shared" si="56"/>
        <v/>
      </c>
      <c r="P139" s="89" t="str">
        <f t="shared" si="57"/>
        <v/>
      </c>
      <c r="Q139" s="89" t="str">
        <f t="shared" si="58"/>
        <v/>
      </c>
      <c r="R139" s="85">
        <f t="shared" si="59"/>
        <v>24</v>
      </c>
      <c r="S139" s="41" t="str">
        <f t="shared" si="60"/>
        <v/>
      </c>
      <c r="T139" s="166" t="str">
        <f>IF(L139="","",VLOOKUP(L139,classifications!C:K,9,FALSE))</f>
        <v>Sparse</v>
      </c>
      <c r="U139" s="167">
        <f t="shared" si="61"/>
        <v>24</v>
      </c>
      <c r="V139" s="173">
        <f>IF(U139="","",IF($I$8="A",(RANK(U139,U$11:U$333)+COUNTIF(U$11:U139,U139)-1),(RANK(U139,U$11:U$333,1)+COUNTIF(U$11:U139,U139)-1)))</f>
        <v>13</v>
      </c>
      <c r="W139" s="174"/>
      <c r="X139" s="5" t="str">
        <f>IF(L139="","",VLOOKUP($L139,classifications!$C:$J,6,FALSE))</f>
        <v xml:space="preserve">Predominantly Rural </v>
      </c>
      <c r="Y139">
        <f t="shared" si="62"/>
        <v>24</v>
      </c>
      <c r="Z139" s="39">
        <f>IF(Y139="","",IF(I$8="A",(RANK(Y139,Y$11:Y$333,1)+COUNTIF(Y$11:Y139,Y139)-1),(RANK(Y139,Y$11:Y$333)+COUNTIF(Y$11:Y139,Y139)-1)))</f>
        <v>43</v>
      </c>
      <c r="AA139" s="177" t="str">
        <f>IF(L139="","",VLOOKUP($L139,classifications!C:I,7,FALSE))</f>
        <v>Predominantly Rural</v>
      </c>
      <c r="AB139" s="173">
        <f t="shared" si="63"/>
        <v>24</v>
      </c>
      <c r="AC139" s="173">
        <f>IF(AB139="","",IF($I$8="A",(RANK(AB139,AB$11:AB$333)+COUNTIF(AB$11:AB139,AB139)-1),(RANK(AB139,AB$11:AB$333,1)+COUNTIF(AB$11:AB139,AB139)-1)))</f>
        <v>19</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Suffolk</v>
      </c>
      <c r="AJ139" s="42">
        <f t="shared" si="65"/>
        <v>24</v>
      </c>
      <c r="AK139" s="39">
        <f>IF(AJ139="","",IF(I$8="A",(RANK(AJ139,AJ$11:AJ$333,1)+COUNTIF(AJ$11:AJ139,AJ139)-1),(RANK(AJ139,AJ$11:AJ$333)+COUNTIF(AJ$11:AJ139,AJ139)-1)))</f>
        <v>4</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East of England</v>
      </c>
      <c r="AQ139" s="42">
        <f t="shared" si="66"/>
        <v>24</v>
      </c>
      <c r="AR139" s="39">
        <f>IF(AQ139="","",IF(I$8="A",(RANK(AQ139,AQ$11:AQ$333,1)+COUNTIF(AQ$11:AQ139,AQ139)-1),(RANK(AQ139,AQ$11:AQ$333)+COUNTIF(AQ$11:AQ139,AQ139)-1)))</f>
        <v>32</v>
      </c>
      <c r="AS139" s="3" t="str">
        <f t="shared" si="54"/>
        <v/>
      </c>
      <c r="AT139" s="39" t="str">
        <f t="shared" ref="AT139:AT202" si="73">IF(AS139="","",INDEX(L$11:L$333,MATCH(AS139,AR$11:AR$333,0)))</f>
        <v/>
      </c>
      <c r="AU139" s="42" t="str">
        <f t="shared" ref="AU139:AU202" si="74">IF(AT139="","",VLOOKUP(AT139,L:M,2,FALSE))</f>
        <v/>
      </c>
      <c r="AX139">
        <f>HLOOKUP($AX$9&amp;$AX$10,Data!$A$1:$ZT$1975,(MATCH($C139,Data!$A$1:$A$1975,0)),FALSE)</f>
        <v>23</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31</v>
      </c>
      <c r="G140" s="15"/>
      <c r="H140" s="41">
        <f t="shared" si="68"/>
        <v>31</v>
      </c>
      <c r="I140" s="73">
        <f>IF(H140="","",IF($I$8="A",(RANK(H140,H$11:H$333,1)+COUNTIF(H$11:H140,H140)-1),(RANK(H140,H$11:H$333)+COUNTIF(H$11:H140,H140)-1)))</f>
        <v>153</v>
      </c>
      <c r="J140" s="40"/>
      <c r="K140" s="35">
        <f t="shared" ref="K140:K203" si="75">IF(K139="","",IF(K139+1&gt;(COUNT(H$11:H$333)),"",K139+1))</f>
        <v>130</v>
      </c>
      <c r="L140" t="str">
        <f t="shared" si="69"/>
        <v>Worthing</v>
      </c>
      <c r="M140" s="109">
        <f t="shared" si="70"/>
        <v>24</v>
      </c>
      <c r="N140" s="104">
        <f t="shared" si="55"/>
        <v>24</v>
      </c>
      <c r="O140" s="89" t="str">
        <f t="shared" si="56"/>
        <v/>
      </c>
      <c r="P140" s="89" t="str">
        <f t="shared" si="57"/>
        <v/>
      </c>
      <c r="Q140" s="89" t="str">
        <f t="shared" si="58"/>
        <v/>
      </c>
      <c r="R140" s="85">
        <f t="shared" si="59"/>
        <v>24</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Predominantly Urban</v>
      </c>
      <c r="Y140" t="str">
        <f t="shared" si="62"/>
        <v/>
      </c>
      <c r="Z140" s="39" t="str">
        <f>IF(Y140="","",IF(I$8="A",(RANK(Y140,Y$11:Y$333,1)+COUNTIF(Y$11:Y140,Y140)-1),(RANK(Y140,Y$11:Y$333)+COUNTIF(Y$11:Y140,Y140)-1)))</f>
        <v/>
      </c>
      <c r="AA140" s="177" t="str">
        <f>IF(L140="","",VLOOKUP($L140,classifications!C:I,7,FALSE))</f>
        <v>Predominantly Urban</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West Sussex</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East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31</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8</v>
      </c>
      <c r="G141" s="15"/>
      <c r="H141" s="41" t="str">
        <f t="shared" si="68"/>
        <v/>
      </c>
      <c r="I141" s="73" t="str">
        <f>IF(H141="","",IF($I$8="A",(RANK(H141,H$11:H$333,1)+COUNTIF(H$11:H141,H141)-1),(RANK(H141,H$11:H$333)+COUNTIF(H$11:H141,H141)-1)))</f>
        <v/>
      </c>
      <c r="J141" s="40"/>
      <c r="K141" s="35">
        <f t="shared" si="75"/>
        <v>131</v>
      </c>
      <c r="L141" t="str">
        <f t="shared" si="69"/>
        <v>Blaby</v>
      </c>
      <c r="M141" s="109">
        <f t="shared" si="70"/>
        <v>25</v>
      </c>
      <c r="N141" s="104">
        <f t="shared" si="55"/>
        <v>25</v>
      </c>
      <c r="O141" s="89" t="str">
        <f t="shared" si="56"/>
        <v/>
      </c>
      <c r="P141" s="89" t="str">
        <f t="shared" si="57"/>
        <v/>
      </c>
      <c r="Q141" s="89" t="str">
        <f t="shared" si="58"/>
        <v/>
      </c>
      <c r="R141" s="85">
        <f t="shared" si="59"/>
        <v>25</v>
      </c>
      <c r="S141" s="41" t="str">
        <f t="shared" si="60"/>
        <v/>
      </c>
      <c r="T141" s="166">
        <f>IF(L141="","",VLOOKUP(L141,classifications!C:K,9,FALSE))</f>
        <v>0</v>
      </c>
      <c r="U141" s="167" t="str">
        <f t="shared" si="61"/>
        <v/>
      </c>
      <c r="V141" s="173" t="str">
        <f>IF(U141="","",IF($I$8="A",(RANK(U141,U$11:U$333)+COUNTIF(U$11:U141,U141)-1),(RANK(U141,U$11:U$333,1)+COUNTIF(U$11:U141,U141)-1)))</f>
        <v/>
      </c>
      <c r="W141" s="174"/>
      <c r="X141" s="5" t="str">
        <f>IF(L141="","",VLOOKUP($L141,classifications!$C:$J,6,FALSE))</f>
        <v>Predominantly Urban</v>
      </c>
      <c r="Y141" t="str">
        <f t="shared" si="62"/>
        <v/>
      </c>
      <c r="Z141" s="39" t="str">
        <f>IF(Y141="","",IF(I$8="A",(RANK(Y141,Y$11:Y$333,1)+COUNTIF(Y$11:Y141,Y141)-1),(RANK(Y141,Y$11:Y$333)+COUNTIF(Y$11:Y141,Y141)-1)))</f>
        <v/>
      </c>
      <c r="AA141" s="177" t="str">
        <f>IF(L141="","",VLOOKUP($L141,classifications!C:I,7,FALSE))</f>
        <v>Predominantly Urban</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Leicestershire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East Midlands</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24</v>
      </c>
      <c r="G142" s="15"/>
      <c r="H142" s="41">
        <f t="shared" si="68"/>
        <v>24</v>
      </c>
      <c r="I142" s="73">
        <f>IF(H142="","",IF($I$8="A",(RANK(H142,H$11:H$333,1)+COUNTIF(H$11:H142,H142)-1),(RANK(H142,H$11:H$333)+COUNTIF(H$11:H142,H142)-1)))</f>
        <v>124</v>
      </c>
      <c r="J142" s="40"/>
      <c r="K142" s="35">
        <f t="shared" si="75"/>
        <v>132</v>
      </c>
      <c r="L142" t="str">
        <f t="shared" si="69"/>
        <v>Fenland</v>
      </c>
      <c r="M142" s="109">
        <f t="shared" si="70"/>
        <v>25</v>
      </c>
      <c r="N142" s="104">
        <f t="shared" si="55"/>
        <v>25</v>
      </c>
      <c r="O142" s="89" t="str">
        <f t="shared" si="56"/>
        <v/>
      </c>
      <c r="P142" s="89" t="str">
        <f t="shared" si="57"/>
        <v/>
      </c>
      <c r="Q142" s="89" t="str">
        <f t="shared" si="58"/>
        <v/>
      </c>
      <c r="R142" s="85">
        <f t="shared" si="59"/>
        <v>25</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 xml:space="preserve">Predominantly Rural </v>
      </c>
      <c r="Y142">
        <f t="shared" si="62"/>
        <v>25</v>
      </c>
      <c r="Z142" s="39">
        <f>IF(Y142="","",IF(I$8="A",(RANK(Y142,Y$11:Y$333,1)+COUNTIF(Y$11:Y142,Y142)-1),(RANK(Y142,Y$11:Y$333)+COUNTIF(Y$11:Y142,Y142)-1)))</f>
        <v>44</v>
      </c>
      <c r="AA142" s="177" t="str">
        <f>IF(L142="","",VLOOKUP($L142,classifications!C:I,7,FALSE))</f>
        <v>Predominantly Rural</v>
      </c>
      <c r="AB142" s="173">
        <f t="shared" si="63"/>
        <v>25</v>
      </c>
      <c r="AC142" s="173">
        <f>IF(AB142="","",IF($I$8="A",(RANK(AB142,AB$11:AB$333)+COUNTIF(AB$11:AB142,AB142)-1),(RANK(AB142,AB$11:AB$333,1)+COUNTIF(AB$11:AB142,AB142)-1)))</f>
        <v>12</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Cambridgeshire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East of England</v>
      </c>
      <c r="AQ142" s="42">
        <f t="shared" si="66"/>
        <v>25</v>
      </c>
      <c r="AR142" s="39">
        <f>IF(AQ142="","",IF(I$8="A",(RANK(AQ142,AQ$11:AQ$333,1)+COUNTIF(AQ$11:AQ142,AQ142)-1),(RANK(AQ142,AQ$11:AQ$333)+COUNTIF(AQ$11:AQ142,AQ142)-1)))</f>
        <v>33</v>
      </c>
      <c r="AS142" s="3" t="str">
        <f t="shared" si="78"/>
        <v/>
      </c>
      <c r="AT142" s="39" t="str">
        <f t="shared" si="73"/>
        <v/>
      </c>
      <c r="AU142" s="42" t="str">
        <f t="shared" si="74"/>
        <v/>
      </c>
      <c r="AX142">
        <f>HLOOKUP($AX$9&amp;$AX$10,Data!$A$1:$ZT$1975,(MATCH($C142,Data!$A$1:$A$1975,0)),FALSE)</f>
        <v>24</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23</v>
      </c>
      <c r="G143" s="15"/>
      <c r="H143" s="41">
        <f t="shared" si="68"/>
        <v>23</v>
      </c>
      <c r="I143" s="73">
        <f>IF(H143="","",IF($I$8="A",(RANK(H143,H$11:H$333,1)+COUNTIF(H$11:H143,H143)-1),(RANK(H143,H$11:H$333)+COUNTIF(H$11:H143,H143)-1)))</f>
        <v>112</v>
      </c>
      <c r="J143" s="40"/>
      <c r="K143" s="35">
        <f t="shared" si="75"/>
        <v>133</v>
      </c>
      <c r="L143" t="str">
        <f t="shared" si="69"/>
        <v>North Devon</v>
      </c>
      <c r="M143" s="109">
        <f t="shared" si="70"/>
        <v>25</v>
      </c>
      <c r="N143" s="104">
        <f t="shared" si="55"/>
        <v>25</v>
      </c>
      <c r="O143" s="89" t="str">
        <f t="shared" si="56"/>
        <v/>
      </c>
      <c r="P143" s="89" t="str">
        <f t="shared" si="57"/>
        <v/>
      </c>
      <c r="Q143" s="89" t="str">
        <f t="shared" si="58"/>
        <v/>
      </c>
      <c r="R143" s="85">
        <f t="shared" si="59"/>
        <v>25</v>
      </c>
      <c r="S143" s="41" t="str">
        <f t="shared" si="60"/>
        <v/>
      </c>
      <c r="T143" s="166" t="str">
        <f>IF(L143="","",VLOOKUP(L143,classifications!C:K,9,FALSE))</f>
        <v>Sparse</v>
      </c>
      <c r="U143" s="167">
        <f t="shared" si="61"/>
        <v>25</v>
      </c>
      <c r="V143" s="173">
        <f>IF(U143="","",IF($I$8="A",(RANK(U143,U$11:U$333)+COUNTIF(U$11:U143,U143)-1),(RANK(U143,U$11:U$333,1)+COUNTIF(U$11:U143,U143)-1)))</f>
        <v>10</v>
      </c>
      <c r="W143" s="174"/>
      <c r="X143" s="5" t="str">
        <f>IF(L143="","",VLOOKUP($L143,classifications!$C:$J,6,FALSE))</f>
        <v xml:space="preserve">Predominantly Rural </v>
      </c>
      <c r="Y143">
        <f t="shared" si="62"/>
        <v>25</v>
      </c>
      <c r="Z143" s="39">
        <f>IF(Y143="","",IF(I$8="A",(RANK(Y143,Y$11:Y$333,1)+COUNTIF(Y$11:Y143,Y143)-1),(RANK(Y143,Y$11:Y$333)+COUNTIF(Y$11:Y143,Y143)-1)))</f>
        <v>45</v>
      </c>
      <c r="AA143" s="177" t="str">
        <f>IF(L143="","",VLOOKUP($L143,classifications!C:I,7,FALSE))</f>
        <v>Predominantly Rural</v>
      </c>
      <c r="AB143" s="173">
        <f t="shared" si="63"/>
        <v>25</v>
      </c>
      <c r="AC143" s="173">
        <f>IF(AB143="","",IF($I$8="A",(RANK(AB143,AB$11:AB$333)+COUNTIF(AB$11:AB143,AB143)-1),(RANK(AB143,AB$11:AB$333,1)+COUNTIF(AB$11:AB143,AB143)-1)))</f>
        <v>13</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Devon</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South West</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23</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19</v>
      </c>
      <c r="G144" s="15"/>
      <c r="H144" s="41">
        <f t="shared" si="68"/>
        <v>19</v>
      </c>
      <c r="I144" s="73">
        <f>IF(H144="","",IF($I$8="A",(RANK(H144,H$11:H$333,1)+COUNTIF(H$11:H144,H144)-1),(RANK(H144,H$11:H$333)+COUNTIF(H$11:H144,H144)-1)))</f>
        <v>78</v>
      </c>
      <c r="J144" s="40"/>
      <c r="K144" s="35">
        <f t="shared" si="75"/>
        <v>134</v>
      </c>
      <c r="L144" t="str">
        <f t="shared" si="69"/>
        <v>South Ribble</v>
      </c>
      <c r="M144" s="109">
        <f t="shared" si="70"/>
        <v>25</v>
      </c>
      <c r="N144" s="104">
        <f t="shared" si="55"/>
        <v>25</v>
      </c>
      <c r="O144" s="89" t="str">
        <f t="shared" si="56"/>
        <v/>
      </c>
      <c r="P144" s="89" t="str">
        <f t="shared" si="57"/>
        <v/>
      </c>
      <c r="Q144" s="89" t="str">
        <f t="shared" si="58"/>
        <v/>
      </c>
      <c r="R144" s="85">
        <f t="shared" si="59"/>
        <v>25</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Lancashire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North West</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19</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11</v>
      </c>
      <c r="G145" s="15"/>
      <c r="H145" s="41" t="str">
        <f t="shared" si="68"/>
        <v/>
      </c>
      <c r="I145" s="73" t="str">
        <f>IF(H145="","",IF($I$8="A",(RANK(H145,H$11:H$333,1)+COUNTIF(H$11:H145,H145)-1),(RANK(H145,H$11:H$333)+COUNTIF(H$11:H145,H145)-1)))</f>
        <v/>
      </c>
      <c r="J145" s="40"/>
      <c r="K145" s="35">
        <f t="shared" si="75"/>
        <v>135</v>
      </c>
      <c r="L145" t="str">
        <f t="shared" si="69"/>
        <v>Tandridge</v>
      </c>
      <c r="M145" s="109">
        <f t="shared" si="70"/>
        <v>25</v>
      </c>
      <c r="N145" s="104">
        <f t="shared" si="55"/>
        <v>25</v>
      </c>
      <c r="O145" s="89" t="str">
        <f t="shared" si="56"/>
        <v/>
      </c>
      <c r="P145" s="89" t="str">
        <f t="shared" si="57"/>
        <v/>
      </c>
      <c r="Q145" s="89" t="str">
        <f t="shared" si="58"/>
        <v/>
      </c>
      <c r="R145" s="85">
        <f t="shared" si="59"/>
        <v>25</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Urban with Significant Rural</v>
      </c>
      <c r="Y145" t="str">
        <f t="shared" si="62"/>
        <v/>
      </c>
      <c r="Z145" s="39" t="str">
        <f>IF(Y145="","",IF(I$8="A",(RANK(Y145,Y$11:Y$333,1)+COUNTIF(Y$11:Y145,Y145)-1),(RANK(Y145,Y$11:Y$333)+COUNTIF(Y$11:Y145,Y145)-1)))</f>
        <v/>
      </c>
      <c r="AA145" s="177" t="str">
        <f>IF(L145="","",VLOOKUP($L145,classifications!C:I,7,FALSE))</f>
        <v>Urban with Significant Rural</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Surrey</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South East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11</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t="e">
        <f t="shared" si="67"/>
        <v>#N/A</v>
      </c>
      <c r="G146" s="15"/>
      <c r="H146" s="41" t="str">
        <f t="shared" si="68"/>
        <v/>
      </c>
      <c r="I146" s="73" t="str">
        <f>IF(H146="","",IF($I$8="A",(RANK(H146,H$11:H$333,1)+COUNTIF(H$11:H146,H146)-1),(RANK(H146,H$11:H$333)+COUNTIF(H$11:H146,H146)-1)))</f>
        <v/>
      </c>
      <c r="J146" s="40"/>
      <c r="K146" s="35">
        <f t="shared" si="75"/>
        <v>136</v>
      </c>
      <c r="L146" t="str">
        <f t="shared" si="69"/>
        <v>West Oxfordshire</v>
      </c>
      <c r="M146" s="109">
        <f t="shared" si="70"/>
        <v>25</v>
      </c>
      <c r="N146" s="104">
        <f t="shared" si="55"/>
        <v>25</v>
      </c>
      <c r="O146" s="89" t="str">
        <f t="shared" si="56"/>
        <v/>
      </c>
      <c r="P146" s="89" t="str">
        <f t="shared" si="57"/>
        <v/>
      </c>
      <c r="Q146" s="89" t="str">
        <f t="shared" si="58"/>
        <v/>
      </c>
      <c r="R146" s="85">
        <f t="shared" si="59"/>
        <v>25</v>
      </c>
      <c r="S146" s="41" t="str">
        <f t="shared" si="60"/>
        <v/>
      </c>
      <c r="T146" s="166" t="str">
        <f>IF(L146="","",VLOOKUP(L146,classifications!C:K,9,FALSE))</f>
        <v>Sparse</v>
      </c>
      <c r="U146" s="167">
        <f t="shared" si="61"/>
        <v>25</v>
      </c>
      <c r="V146" s="173">
        <f>IF(U146="","",IF($I$8="A",(RANK(U146,U$11:U$333)+COUNTIF(U$11:U146,U146)-1),(RANK(U146,U$11:U$333,1)+COUNTIF(U$11:U146,U146)-1)))</f>
        <v>11</v>
      </c>
      <c r="W146" s="174"/>
      <c r="X146" s="5" t="str">
        <f>IF(L146="","",VLOOKUP($L146,classifications!$C:$J,6,FALSE))</f>
        <v xml:space="preserve">Predominantly Rural </v>
      </c>
      <c r="Y146">
        <f t="shared" si="62"/>
        <v>25</v>
      </c>
      <c r="Z146" s="39">
        <f>IF(Y146="","",IF(I$8="A",(RANK(Y146,Y$11:Y$333,1)+COUNTIF(Y$11:Y146,Y146)-1),(RANK(Y146,Y$11:Y$333)+COUNTIF(Y$11:Y146,Y146)-1)))</f>
        <v>46</v>
      </c>
      <c r="AA146" s="177" t="str">
        <f>IF(L146="","",VLOOKUP($L146,classifications!C:I,7,FALSE))</f>
        <v>Predominantly Rural</v>
      </c>
      <c r="AB146" s="173">
        <f t="shared" si="63"/>
        <v>25</v>
      </c>
      <c r="AC146" s="173">
        <f>IF(AB146="","",IF($I$8="A",(RANK(AB146,AB$11:AB$333)+COUNTIF(AB$11:AB146,AB146)-1),(RANK(AB146,AB$11:AB$333,1)+COUNTIF(AB$11:AB146,AB146)-1)))</f>
        <v>14</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Oxfordshire</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South East</v>
      </c>
      <c r="AQ146" s="42" t="str">
        <f t="shared" si="66"/>
        <v/>
      </c>
      <c r="AR146" s="39" t="str">
        <f>IF(AQ146="","",IF(I$8="A",(RANK(AQ146,AQ$11:AQ$333,1)+COUNTIF(AQ$11:AQ146,AQ146)-1),(RANK(AQ146,AQ$11:AQ$333)+COUNTIF(AQ$11:AQ146,AQ146)-1)))</f>
        <v/>
      </c>
      <c r="AS146" s="3" t="str">
        <f t="shared" si="78"/>
        <v/>
      </c>
      <c r="AT146" s="39" t="str">
        <f t="shared" si="73"/>
        <v/>
      </c>
      <c r="AU146" s="42" t="str">
        <f t="shared" si="74"/>
        <v/>
      </c>
      <c r="AX146" t="e">
        <f>HLOOKUP($AX$9&amp;$AX$10,Data!$A$1:$ZT$1975,(MATCH($C146,Data!$A$1:$A$1975,0)),FALSE)</f>
        <v>#N/A</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22</v>
      </c>
      <c r="G147" s="15"/>
      <c r="H147" s="41" t="str">
        <f t="shared" si="68"/>
        <v/>
      </c>
      <c r="I147" s="73" t="str">
        <f>IF(H147="","",IF($I$8="A",(RANK(H147,H$11:H$333,1)+COUNTIF(H$11:H147,H147)-1),(RANK(H147,H$11:H$333)+COUNTIF(H$11:H147,H147)-1)))</f>
        <v/>
      </c>
      <c r="J147" s="40"/>
      <c r="K147" s="35">
        <f t="shared" si="75"/>
        <v>137</v>
      </c>
      <c r="L147" t="str">
        <f t="shared" si="69"/>
        <v>Winchester</v>
      </c>
      <c r="M147" s="109">
        <f t="shared" si="70"/>
        <v>25</v>
      </c>
      <c r="N147" s="104">
        <f t="shared" si="55"/>
        <v>25</v>
      </c>
      <c r="O147" s="89" t="str">
        <f t="shared" si="56"/>
        <v/>
      </c>
      <c r="P147" s="89" t="str">
        <f t="shared" si="57"/>
        <v/>
      </c>
      <c r="Q147" s="89" t="str">
        <f t="shared" si="58"/>
        <v/>
      </c>
      <c r="R147" s="85">
        <f t="shared" si="59"/>
        <v>25</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 xml:space="preserve">Predominantly Rural </v>
      </c>
      <c r="Y147">
        <f t="shared" si="62"/>
        <v>25</v>
      </c>
      <c r="Z147" s="39">
        <f>IF(Y147="","",IF(I$8="A",(RANK(Y147,Y$11:Y$333,1)+COUNTIF(Y$11:Y147,Y147)-1),(RANK(Y147,Y$11:Y$333)+COUNTIF(Y$11:Y147,Y147)-1)))</f>
        <v>47</v>
      </c>
      <c r="AA147" s="177" t="str">
        <f>IF(L147="","",VLOOKUP($L147,classifications!C:I,7,FALSE))</f>
        <v>Predominantly Rural</v>
      </c>
      <c r="AB147" s="173">
        <f t="shared" si="63"/>
        <v>25</v>
      </c>
      <c r="AC147" s="173">
        <f>IF(AB147="","",IF($I$8="A",(RANK(AB147,AB$11:AB$333)+COUNTIF(AB$11:AB147,AB147)-1),(RANK(AB147,AB$11:AB$333,1)+COUNTIF(AB$11:AB147,AB147)-1)))</f>
        <v>15</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Hampshire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South East</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22</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15</v>
      </c>
      <c r="G148" s="15"/>
      <c r="H148" s="41" t="str">
        <f t="shared" si="68"/>
        <v/>
      </c>
      <c r="I148" s="73" t="str">
        <f>IF(H148="","",IF($I$8="A",(RANK(H148,H$11:H$333,1)+COUNTIF(H$11:H148,H148)-1),(RANK(H148,H$11:H$333)+COUNTIF(H$11:H148,H148)-1)))</f>
        <v/>
      </c>
      <c r="J148" s="40"/>
      <c r="K148" s="35">
        <f t="shared" si="75"/>
        <v>138</v>
      </c>
      <c r="L148" t="str">
        <f t="shared" si="69"/>
        <v>Chorley</v>
      </c>
      <c r="M148" s="109">
        <f t="shared" si="70"/>
        <v>26</v>
      </c>
      <c r="N148" s="104">
        <f t="shared" si="55"/>
        <v>26</v>
      </c>
      <c r="O148" s="89" t="str">
        <f t="shared" si="56"/>
        <v/>
      </c>
      <c r="P148" s="89" t="str">
        <f t="shared" si="57"/>
        <v/>
      </c>
      <c r="Q148" s="89" t="str">
        <f t="shared" si="58"/>
        <v/>
      </c>
      <c r="R148" s="85">
        <f t="shared" si="59"/>
        <v>26</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Urban with Significant Rural</v>
      </c>
      <c r="Y148" t="str">
        <f t="shared" si="62"/>
        <v/>
      </c>
      <c r="Z148" s="39" t="str">
        <f>IF(Y148="","",IF(I$8="A",(RANK(Y148,Y$11:Y$333,1)+COUNTIF(Y$11:Y148,Y148)-1),(RANK(Y148,Y$11:Y$333)+COUNTIF(Y$11:Y148,Y148)-1)))</f>
        <v/>
      </c>
      <c r="AA148" s="177" t="str">
        <f>IF(L148="","",VLOOKUP($L148,classifications!C:I,7,FALSE))</f>
        <v>Urban with Significant Rural</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Lancashire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North West</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15</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East Suffolk</v>
      </c>
      <c r="M149" s="109">
        <f t="shared" si="70"/>
        <v>26</v>
      </c>
      <c r="N149" s="104">
        <f t="shared" si="55"/>
        <v>26</v>
      </c>
      <c r="O149" s="89" t="str">
        <f t="shared" si="56"/>
        <v/>
      </c>
      <c r="P149" s="89" t="str">
        <f t="shared" si="57"/>
        <v/>
      </c>
      <c r="Q149" s="89" t="str">
        <f t="shared" si="58"/>
        <v/>
      </c>
      <c r="R149" s="85">
        <f t="shared" si="59"/>
        <v>26</v>
      </c>
      <c r="S149" s="41" t="str">
        <f t="shared" si="60"/>
        <v/>
      </c>
      <c r="T149" s="166" t="str">
        <f>IF(L149="","",VLOOKUP(L149,classifications!C:K,9,FALSE))</f>
        <v>Sparse</v>
      </c>
      <c r="U149" s="167">
        <f t="shared" si="61"/>
        <v>26</v>
      </c>
      <c r="V149" s="173">
        <f>IF(U149="","",IF($I$8="A",(RANK(U149,U$11:U$333)+COUNTIF(U$11:U149,U149)-1),(RANK(U149,U$11:U$333,1)+COUNTIF(U$11:U149,U149)-1)))</f>
        <v>9</v>
      </c>
      <c r="W149" s="174"/>
      <c r="X149" s="5" t="str">
        <f>IF(L149="","",VLOOKUP($L149,classifications!$C:$J,6,FALSE))</f>
        <v xml:space="preserve">Predominantly Rural </v>
      </c>
      <c r="Y149">
        <f t="shared" si="62"/>
        <v>26</v>
      </c>
      <c r="Z149" s="39">
        <f>IF(Y149="","",IF(I$8="A",(RANK(Y149,Y$11:Y$333,1)+COUNTIF(Y$11:Y149,Y149)-1),(RANK(Y149,Y$11:Y$333)+COUNTIF(Y$11:Y149,Y149)-1)))</f>
        <v>48</v>
      </c>
      <c r="AA149" s="177" t="str">
        <f>IF(L149="","",VLOOKUP($L149,classifications!C:I,7,FALSE))</f>
        <v xml:space="preserve">Predominantly Rural </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Suffolk</v>
      </c>
      <c r="AJ149" s="42">
        <f t="shared" si="65"/>
        <v>26</v>
      </c>
      <c r="AK149" s="39">
        <f>IF(AJ149="","",IF(I$8="A",(RANK(AJ149,AJ$11:AJ$333,1)+COUNTIF(AJ$11:AJ149,AJ149)-1),(RANK(AJ149,AJ$11:AJ$333)+COUNTIF(AJ$11:AJ149,AJ149)-1)))</f>
        <v>5</v>
      </c>
      <c r="AL149" s="3" t="str">
        <f t="shared" si="77"/>
        <v/>
      </c>
      <c r="AM149" t="str">
        <f t="shared" si="71"/>
        <v/>
      </c>
      <c r="AN149" t="str">
        <f t="shared" si="72"/>
        <v/>
      </c>
      <c r="AP149" s="5" t="str">
        <f>IF(L149="","",VLOOKUP($L149,classifications!$C:$E,3,FALSE))</f>
        <v>East of England</v>
      </c>
      <c r="AQ149" s="42">
        <f t="shared" si="66"/>
        <v>26</v>
      </c>
      <c r="AR149" s="39">
        <f>IF(AQ149="","",IF(I$8="A",(RANK(AQ149,AQ$11:AQ$333,1)+COUNTIF(AQ$11:AQ149,AQ149)-1),(RANK(AQ149,AQ$11:AQ$333)+COUNTIF(AQ$11:AQ149,AQ149)-1)))</f>
        <v>34</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15</v>
      </c>
      <c r="G150" s="15"/>
      <c r="H150" s="41">
        <f t="shared" si="68"/>
        <v>15</v>
      </c>
      <c r="I150" s="73">
        <f>IF(H150="","",IF($I$8="A",(RANK(H150,H$11:H$333,1)+COUNTIF(H$11:H150,H150)-1),(RANK(H150,H$11:H$333)+COUNTIF(H$11:H150,H150)-1)))</f>
        <v>41</v>
      </c>
      <c r="J150" s="40"/>
      <c r="K150" s="35">
        <f t="shared" si="75"/>
        <v>140</v>
      </c>
      <c r="L150" t="str">
        <f t="shared" si="69"/>
        <v>Harlow</v>
      </c>
      <c r="M150" s="109">
        <f t="shared" si="70"/>
        <v>26</v>
      </c>
      <c r="N150" s="104">
        <f t="shared" si="55"/>
        <v>26</v>
      </c>
      <c r="O150" s="89" t="str">
        <f t="shared" si="56"/>
        <v/>
      </c>
      <c r="P150" s="89" t="str">
        <f t="shared" si="57"/>
        <v/>
      </c>
      <c r="Q150" s="89" t="str">
        <f t="shared" si="58"/>
        <v/>
      </c>
      <c r="R150" s="85">
        <f t="shared" si="59"/>
        <v>26</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Essex</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East of England</v>
      </c>
      <c r="AQ150" s="42">
        <f t="shared" si="66"/>
        <v>26</v>
      </c>
      <c r="AR150" s="39">
        <f>IF(AQ150="","",IF(I$8="A",(RANK(AQ150,AQ$11:AQ$333,1)+COUNTIF(AQ$11:AQ150,AQ150)-1),(RANK(AQ150,AQ$11:AQ$333)+COUNTIF(AQ$11:AQ150,AQ150)-1)))</f>
        <v>35</v>
      </c>
      <c r="AS150" s="3" t="str">
        <f t="shared" si="78"/>
        <v/>
      </c>
      <c r="AT150" s="39" t="str">
        <f t="shared" si="73"/>
        <v/>
      </c>
      <c r="AU150" s="42" t="str">
        <f t="shared" si="74"/>
        <v/>
      </c>
      <c r="AX150">
        <f>HLOOKUP($AX$9&amp;$AX$10,Data!$A$1:$ZT$1975,(MATCH($C150,Data!$A$1:$A$1975,0)),FALSE)</f>
        <v>15</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23</v>
      </c>
      <c r="G151" s="15"/>
      <c r="H151" s="41" t="str">
        <f t="shared" si="68"/>
        <v/>
      </c>
      <c r="I151" s="73" t="str">
        <f>IF(H151="","",IF($I$8="A",(RANK(H151,H$11:H$333,1)+COUNTIF(H$11:H151,H151)-1),(RANK(H151,H$11:H$333)+COUNTIF(H$11:H151,H151)-1)))</f>
        <v/>
      </c>
      <c r="J151" s="40"/>
      <c r="K151" s="35">
        <f t="shared" si="75"/>
        <v>141</v>
      </c>
      <c r="L151" t="str">
        <f t="shared" si="69"/>
        <v>Breckland</v>
      </c>
      <c r="M151" s="109">
        <f t="shared" si="70"/>
        <v>27</v>
      </c>
      <c r="N151" s="104">
        <f t="shared" si="55"/>
        <v>27</v>
      </c>
      <c r="O151" s="89" t="str">
        <f t="shared" si="56"/>
        <v/>
      </c>
      <c r="P151" s="89" t="str">
        <f t="shared" si="57"/>
        <v/>
      </c>
      <c r="Q151" s="89" t="str">
        <f t="shared" si="58"/>
        <v/>
      </c>
      <c r="R151" s="85">
        <f t="shared" si="59"/>
        <v>27</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 xml:space="preserve">Predominantly Rural </v>
      </c>
      <c r="Y151">
        <f t="shared" si="62"/>
        <v>27</v>
      </c>
      <c r="Z151" s="39">
        <f>IF(Y151="","",IF(I$8="A",(RANK(Y151,Y$11:Y$333,1)+COUNTIF(Y$11:Y151,Y151)-1),(RANK(Y151,Y$11:Y$333)+COUNTIF(Y$11:Y151,Y151)-1)))</f>
        <v>49</v>
      </c>
      <c r="AA151" s="177" t="str">
        <f>IF(L151="","",VLOOKUP($L151,classifications!C:I,7,FALSE))</f>
        <v>Predominantly Rural</v>
      </c>
      <c r="AB151" s="173">
        <f t="shared" si="63"/>
        <v>27</v>
      </c>
      <c r="AC151" s="173">
        <f>IF(AB151="","",IF($I$8="A",(RANK(AB151,AB$11:AB$333)+COUNTIF(AB$11:AB151,AB151)-1),(RANK(AB151,AB$11:AB$333,1)+COUNTIF(AB$11:AB151,AB151)-1)))</f>
        <v>10</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Norfolk</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East of England</v>
      </c>
      <c r="AQ151" s="42">
        <f t="shared" si="66"/>
        <v>27</v>
      </c>
      <c r="AR151" s="39">
        <f>IF(AQ151="","",IF(I$8="A",(RANK(AQ151,AQ$11:AQ$333,1)+COUNTIF(AQ$11:AQ151,AQ151)-1),(RANK(AQ151,AQ$11:AQ$333)+COUNTIF(AQ$11:AQ151,AQ151)-1)))</f>
        <v>36</v>
      </c>
      <c r="AS151" s="3" t="str">
        <f t="shared" si="78"/>
        <v/>
      </c>
      <c r="AT151" s="39" t="str">
        <f t="shared" si="73"/>
        <v/>
      </c>
      <c r="AU151" s="42" t="str">
        <f t="shared" si="74"/>
        <v/>
      </c>
      <c r="AX151">
        <f>HLOOKUP($AX$9&amp;$AX$10,Data!$A$1:$ZT$1975,(MATCH($C151,Data!$A$1:$A$1975,0)),FALSE)</f>
        <v>23</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24</v>
      </c>
      <c r="G152" s="15"/>
      <c r="H152" s="41" t="str">
        <f t="shared" si="68"/>
        <v/>
      </c>
      <c r="I152" s="73" t="str">
        <f>IF(H152="","",IF($I$8="A",(RANK(H152,H$11:H$333,1)+COUNTIF(H$11:H152,H152)-1),(RANK(H152,H$11:H$333)+COUNTIF(H$11:H152,H152)-1)))</f>
        <v/>
      </c>
      <c r="J152" s="40"/>
      <c r="K152" s="35">
        <f t="shared" si="75"/>
        <v>142</v>
      </c>
      <c r="L152" t="str">
        <f t="shared" si="69"/>
        <v>Dacorum</v>
      </c>
      <c r="M152" s="109">
        <f t="shared" si="70"/>
        <v>27</v>
      </c>
      <c r="N152" s="104">
        <f t="shared" si="55"/>
        <v>27</v>
      </c>
      <c r="O152" s="89" t="str">
        <f t="shared" si="56"/>
        <v/>
      </c>
      <c r="P152" s="89" t="str">
        <f t="shared" si="57"/>
        <v/>
      </c>
      <c r="Q152" s="89" t="str">
        <f t="shared" si="58"/>
        <v/>
      </c>
      <c r="R152" s="85">
        <f t="shared" si="59"/>
        <v>27</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Urban with Significant Rural</v>
      </c>
      <c r="Y152" t="str">
        <f t="shared" si="62"/>
        <v/>
      </c>
      <c r="Z152" s="39" t="str">
        <f>IF(Y152="","",IF(I$8="A",(RANK(Y152,Y$11:Y$333,1)+COUNTIF(Y$11:Y152,Y152)-1),(RANK(Y152,Y$11:Y$333)+COUNTIF(Y$11:Y152,Y152)-1)))</f>
        <v/>
      </c>
      <c r="AA152" s="177" t="str">
        <f>IF(L152="","",VLOOKUP($L152,classifications!C:I,7,FALSE))</f>
        <v>Urban with Significant Rural</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Hertfordshire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East of England</v>
      </c>
      <c r="AQ152" s="42">
        <f t="shared" si="66"/>
        <v>27</v>
      </c>
      <c r="AR152" s="39">
        <f>IF(AQ152="","",IF(I$8="A",(RANK(AQ152,AQ$11:AQ$333,1)+COUNTIF(AQ$11:AQ152,AQ152)-1),(RANK(AQ152,AQ$11:AQ$333)+COUNTIF(AQ$11:AQ152,AQ152)-1)))</f>
        <v>37</v>
      </c>
      <c r="AS152" s="3" t="str">
        <f t="shared" si="78"/>
        <v/>
      </c>
      <c r="AT152" s="39" t="str">
        <f t="shared" si="73"/>
        <v/>
      </c>
      <c r="AU152" s="42" t="str">
        <f t="shared" si="74"/>
        <v/>
      </c>
      <c r="AX152">
        <f>HLOOKUP($AX$9&amp;$AX$10,Data!$A$1:$ZT$1975,(MATCH($C152,Data!$A$1:$A$1975,0)),FALSE)</f>
        <v>24</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31</v>
      </c>
      <c r="G153" s="15"/>
      <c r="H153" s="41" t="str">
        <f t="shared" si="68"/>
        <v/>
      </c>
      <c r="I153" s="73" t="str">
        <f>IF(H153="","",IF($I$8="A",(RANK(H153,H$11:H$333,1)+COUNTIF(H$11:H153,H153)-1),(RANK(H153,H$11:H$333)+COUNTIF(H$11:H153,H153)-1)))</f>
        <v/>
      </c>
      <c r="J153" s="40"/>
      <c r="K153" s="35">
        <f t="shared" si="75"/>
        <v>143</v>
      </c>
      <c r="L153" t="str">
        <f t="shared" si="69"/>
        <v>East Hampshire</v>
      </c>
      <c r="M153" s="109">
        <f t="shared" si="70"/>
        <v>27</v>
      </c>
      <c r="N153" s="104">
        <f t="shared" si="55"/>
        <v>27</v>
      </c>
      <c r="O153" s="89" t="str">
        <f t="shared" si="56"/>
        <v/>
      </c>
      <c r="P153" s="89" t="str">
        <f t="shared" si="57"/>
        <v/>
      </c>
      <c r="Q153" s="89" t="str">
        <f t="shared" si="58"/>
        <v/>
      </c>
      <c r="R153" s="85">
        <f t="shared" si="59"/>
        <v>27</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 xml:space="preserve">Predominantly Rural </v>
      </c>
      <c r="Y153">
        <f t="shared" si="62"/>
        <v>27</v>
      </c>
      <c r="Z153" s="39">
        <f>IF(Y153="","",IF(I$8="A",(RANK(Y153,Y$11:Y$333,1)+COUNTIF(Y$11:Y153,Y153)-1),(RANK(Y153,Y$11:Y$333)+COUNTIF(Y$11:Y153,Y153)-1)))</f>
        <v>50</v>
      </c>
      <c r="AA153" s="177" t="str">
        <f>IF(L153="","",VLOOKUP($L153,classifications!C:I,7,FALSE))</f>
        <v>Predominantly Rural</v>
      </c>
      <c r="AB153" s="173">
        <f t="shared" si="63"/>
        <v>27</v>
      </c>
      <c r="AC153" s="173">
        <f>IF(AB153="","",IF($I$8="A",(RANK(AB153,AB$11:AB$333)+COUNTIF(AB$11:AB153,AB153)-1),(RANK(AB153,AB$11:AB$333,1)+COUNTIF(AB$11:AB153,AB153)-1)))</f>
        <v>11</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Hampshire</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31</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17</v>
      </c>
      <c r="G154" s="15"/>
      <c r="H154" s="41" t="str">
        <f t="shared" si="68"/>
        <v/>
      </c>
      <c r="I154" s="73" t="str">
        <f>IF(H154="","",IF($I$8="A",(RANK(H154,H$11:H$333,1)+COUNTIF(H$11:H154,H154)-1),(RANK(H154,H$11:H$333)+COUNTIF(H$11:H154,H154)-1)))</f>
        <v/>
      </c>
      <c r="J154" s="40"/>
      <c r="K154" s="35">
        <f t="shared" si="75"/>
        <v>144</v>
      </c>
      <c r="L154" t="str">
        <f t="shared" si="69"/>
        <v>Preston</v>
      </c>
      <c r="M154" s="109">
        <f t="shared" si="70"/>
        <v>27</v>
      </c>
      <c r="N154" s="104">
        <f t="shared" si="55"/>
        <v>27</v>
      </c>
      <c r="O154" s="89" t="str">
        <f t="shared" si="56"/>
        <v/>
      </c>
      <c r="P154" s="89" t="str">
        <f t="shared" si="57"/>
        <v/>
      </c>
      <c r="Q154" s="89" t="str">
        <f t="shared" si="58"/>
        <v/>
      </c>
      <c r="R154" s="85">
        <f t="shared" si="59"/>
        <v>27</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Predominantly Urban</v>
      </c>
      <c r="Y154" t="str">
        <f t="shared" si="62"/>
        <v/>
      </c>
      <c r="Z154" s="39" t="str">
        <f>IF(Y154="","",IF(I$8="A",(RANK(Y154,Y$11:Y$333,1)+COUNTIF(Y$11:Y154,Y154)-1),(RANK(Y154,Y$11:Y$333)+COUNTIF(Y$11:Y154,Y154)-1)))</f>
        <v/>
      </c>
      <c r="AA154" s="177" t="str">
        <f>IF(L154="","",VLOOKUP($L154,classifications!C:I,7,FALSE))</f>
        <v>Predominantly Urban</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Lancashire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North West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17</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20</v>
      </c>
      <c r="G155" s="15"/>
      <c r="H155" s="41" t="str">
        <f t="shared" si="68"/>
        <v/>
      </c>
      <c r="I155" s="73" t="str">
        <f>IF(H155="","",IF($I$8="A",(RANK(H155,H$11:H$333,1)+COUNTIF(H$11:H155,H155)-1),(RANK(H155,H$11:H$333)+COUNTIF(H$11:H155,H155)-1)))</f>
        <v/>
      </c>
      <c r="J155" s="40"/>
      <c r="K155" s="35">
        <f t="shared" si="75"/>
        <v>145</v>
      </c>
      <c r="L155" t="str">
        <f t="shared" si="69"/>
        <v>Forest of Dean</v>
      </c>
      <c r="M155" s="109">
        <f t="shared" si="70"/>
        <v>28</v>
      </c>
      <c r="N155" s="104">
        <f t="shared" si="55"/>
        <v>28</v>
      </c>
      <c r="O155" s="89" t="str">
        <f t="shared" si="56"/>
        <v/>
      </c>
      <c r="P155" s="89" t="str">
        <f t="shared" si="57"/>
        <v/>
      </c>
      <c r="Q155" s="89" t="str">
        <f t="shared" si="58"/>
        <v/>
      </c>
      <c r="R155" s="85">
        <f t="shared" si="59"/>
        <v>28</v>
      </c>
      <c r="S155" s="41" t="str">
        <f t="shared" si="60"/>
        <v/>
      </c>
      <c r="T155" s="166" t="str">
        <f>IF(L155="","",VLOOKUP(L155,classifications!C:K,9,FALSE))</f>
        <v>Sparse</v>
      </c>
      <c r="U155" s="167">
        <f t="shared" si="61"/>
        <v>28</v>
      </c>
      <c r="V155" s="173">
        <f>IF(U155="","",IF($I$8="A",(RANK(U155,U$11:U$333)+COUNTIF(U$11:U155,U155)-1),(RANK(U155,U$11:U$333,1)+COUNTIF(U$11:U155,U155)-1)))</f>
        <v>7</v>
      </c>
      <c r="W155" s="174"/>
      <c r="X155" s="5" t="str">
        <f>IF(L155="","",VLOOKUP($L155,classifications!$C:$J,6,FALSE))</f>
        <v xml:space="preserve">Predominantly Rural </v>
      </c>
      <c r="Y155">
        <f t="shared" si="62"/>
        <v>28</v>
      </c>
      <c r="Z155" s="39">
        <f>IF(Y155="","",IF(I$8="A",(RANK(Y155,Y$11:Y$333,1)+COUNTIF(Y$11:Y155,Y155)-1),(RANK(Y155,Y$11:Y$333)+COUNTIF(Y$11:Y155,Y155)-1)))</f>
        <v>51</v>
      </c>
      <c r="AA155" s="177" t="str">
        <f>IF(L155="","",VLOOKUP($L155,classifications!C:I,7,FALSE))</f>
        <v>Predominantly Rural</v>
      </c>
      <c r="AB155" s="173">
        <f t="shared" si="63"/>
        <v>28</v>
      </c>
      <c r="AC155" s="173">
        <f>IF(AB155="","",IF($I$8="A",(RANK(AB155,AB$11:AB$333)+COUNTIF(AB$11:AB155,AB155)-1),(RANK(AB155,AB$11:AB$333,1)+COUNTIF(AB$11:AB155,AB155)-1)))</f>
        <v>9</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Gloucestershire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South West</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20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Lancaster</v>
      </c>
      <c r="M156" s="109">
        <f t="shared" si="70"/>
        <v>28</v>
      </c>
      <c r="N156" s="104">
        <f t="shared" si="55"/>
        <v>28</v>
      </c>
      <c r="O156" s="89" t="str">
        <f t="shared" si="56"/>
        <v/>
      </c>
      <c r="P156" s="89" t="str">
        <f t="shared" si="57"/>
        <v/>
      </c>
      <c r="Q156" s="89" t="str">
        <f t="shared" si="58"/>
        <v/>
      </c>
      <c r="R156" s="85">
        <f t="shared" si="59"/>
        <v>28</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Urban with Significant Rural</v>
      </c>
      <c r="Y156" t="str">
        <f t="shared" si="62"/>
        <v/>
      </c>
      <c r="Z156" s="39" t="str">
        <f>IF(Y156="","",IF(I$8="A",(RANK(Y156,Y$11:Y$333,1)+COUNTIF(Y$11:Y156,Y156)-1),(RANK(Y156,Y$11:Y$333)+COUNTIF(Y$11:Y156,Y156)-1)))</f>
        <v/>
      </c>
      <c r="AA156" s="177" t="str">
        <f>IF(L156="","",VLOOKUP($L156,classifications!C:I,7,FALSE))</f>
        <v>Urban with Significant Rural</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Lancashire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North West</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28</v>
      </c>
      <c r="G157" s="15"/>
      <c r="H157" s="41">
        <f t="shared" si="68"/>
        <v>28</v>
      </c>
      <c r="I157" s="73">
        <f>IF(H157="","",IF($I$8="A",(RANK(H157,H$11:H$333,1)+COUNTIF(H$11:H157,H157)-1),(RANK(H157,H$11:H$333)+COUNTIF(H$11:H157,H157)-1)))</f>
        <v>146</v>
      </c>
      <c r="J157" s="40"/>
      <c r="K157" s="35">
        <f t="shared" si="75"/>
        <v>147</v>
      </c>
      <c r="L157" t="str">
        <f t="shared" si="69"/>
        <v>Lichfield</v>
      </c>
      <c r="M157" s="109">
        <f t="shared" si="70"/>
        <v>28</v>
      </c>
      <c r="N157" s="104">
        <f t="shared" si="55"/>
        <v>28</v>
      </c>
      <c r="O157" s="89" t="str">
        <f t="shared" si="56"/>
        <v/>
      </c>
      <c r="P157" s="89" t="str">
        <f t="shared" si="57"/>
        <v/>
      </c>
      <c r="Q157" s="89" t="str">
        <f t="shared" si="58"/>
        <v/>
      </c>
      <c r="R157" s="85">
        <f t="shared" si="59"/>
        <v>28</v>
      </c>
      <c r="S157" s="41" t="str">
        <f t="shared" si="60"/>
        <v/>
      </c>
      <c r="T157" s="166" t="str">
        <f>IF(L157="","",VLOOKUP(L157,classifications!C:K,9,FALSE))</f>
        <v>Sparse</v>
      </c>
      <c r="U157" s="167">
        <f t="shared" si="61"/>
        <v>28</v>
      </c>
      <c r="V157" s="173">
        <f>IF(U157="","",IF($I$8="A",(RANK(U157,U$11:U$333)+COUNTIF(U$11:U157,U157)-1),(RANK(U157,U$11:U$333,1)+COUNTIF(U$11:U157,U157)-1)))</f>
        <v>8</v>
      </c>
      <c r="W157" s="174"/>
      <c r="X157" s="5" t="str">
        <f>IF(L157="","",VLOOKUP($L157,classifications!$C:$J,6,FALSE))</f>
        <v>Urban with Significant Rural</v>
      </c>
      <c r="Y157" t="str">
        <f t="shared" si="62"/>
        <v/>
      </c>
      <c r="Z157" s="39" t="str">
        <f>IF(Y157="","",IF(I$8="A",(RANK(Y157,Y$11:Y$333,1)+COUNTIF(Y$11:Y157,Y157)-1),(RANK(Y157,Y$11:Y$333)+COUNTIF(Y$11:Y157,Y157)-1)))</f>
        <v/>
      </c>
      <c r="AA157" s="177" t="str">
        <f>IF(L157="","",VLOOKUP($L157,classifications!C:I,7,FALSE))</f>
        <v>Urban with Significant Rural</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Staffordshire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West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28</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14</v>
      </c>
      <c r="G158" s="15"/>
      <c r="H158" s="41" t="str">
        <f t="shared" si="68"/>
        <v/>
      </c>
      <c r="I158" s="73" t="str">
        <f>IF(H158="","",IF($I$8="A",(RANK(H158,H$11:H$333,1)+COUNTIF(H$11:H158,H158)-1),(RANK(H158,H$11:H$333)+COUNTIF(H$11:H158,H158)-1)))</f>
        <v/>
      </c>
      <c r="J158" s="40"/>
      <c r="K158" s="35">
        <f t="shared" si="75"/>
        <v>148</v>
      </c>
      <c r="L158" t="str">
        <f t="shared" si="69"/>
        <v>Dartford</v>
      </c>
      <c r="M158" s="109">
        <f t="shared" si="70"/>
        <v>29</v>
      </c>
      <c r="N158" s="104">
        <f t="shared" si="55"/>
        <v>29</v>
      </c>
      <c r="O158" s="89" t="str">
        <f t="shared" si="56"/>
        <v/>
      </c>
      <c r="P158" s="89" t="str">
        <f t="shared" si="57"/>
        <v/>
      </c>
      <c r="Q158" s="89" t="str">
        <f t="shared" si="58"/>
        <v/>
      </c>
      <c r="R158" s="85">
        <f t="shared" si="59"/>
        <v>29</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Predominantly Urban</v>
      </c>
      <c r="Y158" t="str">
        <f t="shared" si="62"/>
        <v/>
      </c>
      <c r="Z158" s="39" t="str">
        <f>IF(Y158="","",IF(I$8="A",(RANK(Y158,Y$11:Y$333,1)+COUNTIF(Y$11:Y158,Y158)-1),(RANK(Y158,Y$11:Y$333)+COUNTIF(Y$11:Y158,Y158)-1)))</f>
        <v/>
      </c>
      <c r="AA158" s="177" t="str">
        <f>IF(L158="","",VLOOKUP($L158,classifications!C:I,7,FALSE))</f>
        <v>Predominantly Urban</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Kent</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South East</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14</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17</v>
      </c>
      <c r="G159" s="15"/>
      <c r="H159" s="41" t="str">
        <f t="shared" si="68"/>
        <v/>
      </c>
      <c r="I159" s="73" t="str">
        <f>IF(H159="","",IF($I$8="A",(RANK(H159,H$11:H$333,1)+COUNTIF(H$11:H159,H159)-1),(RANK(H159,H$11:H$333)+COUNTIF(H$11:H159,H159)-1)))</f>
        <v/>
      </c>
      <c r="J159" s="40"/>
      <c r="K159" s="35">
        <f t="shared" si="75"/>
        <v>149</v>
      </c>
      <c r="L159" t="str">
        <f t="shared" si="69"/>
        <v>North Warwickshire</v>
      </c>
      <c r="M159" s="109">
        <f t="shared" si="70"/>
        <v>29</v>
      </c>
      <c r="N159" s="104">
        <f t="shared" si="55"/>
        <v>29</v>
      </c>
      <c r="O159" s="89" t="str">
        <f t="shared" si="56"/>
        <v/>
      </c>
      <c r="P159" s="89" t="str">
        <f t="shared" si="57"/>
        <v/>
      </c>
      <c r="Q159" s="89" t="str">
        <f t="shared" si="58"/>
        <v/>
      </c>
      <c r="R159" s="85">
        <f t="shared" si="59"/>
        <v>29</v>
      </c>
      <c r="S159" s="41" t="str">
        <f t="shared" si="60"/>
        <v/>
      </c>
      <c r="T159" s="166">
        <f>IF(L159="","",VLOOKUP(L159,classifications!C:K,9,FALSE))</f>
        <v>0</v>
      </c>
      <c r="U159" s="167" t="str">
        <f t="shared" si="61"/>
        <v/>
      </c>
      <c r="V159" s="173" t="str">
        <f>IF(U159="","",IF($I$8="A",(RANK(U159,U$11:U$333)+COUNTIF(U$11:U159,U159)-1),(RANK(U159,U$11:U$333,1)+COUNTIF(U$11:U159,U159)-1)))</f>
        <v/>
      </c>
      <c r="W159" s="174"/>
      <c r="X159" s="5" t="str">
        <f>IF(L159="","",VLOOKUP($L159,classifications!$C:$J,6,FALSE))</f>
        <v xml:space="preserve">Predominantly Rural </v>
      </c>
      <c r="Y159">
        <f t="shared" si="62"/>
        <v>29</v>
      </c>
      <c r="Z159" s="39">
        <f>IF(Y159="","",IF(I$8="A",(RANK(Y159,Y$11:Y$333,1)+COUNTIF(Y$11:Y159,Y159)-1),(RANK(Y159,Y$11:Y$333)+COUNTIF(Y$11:Y159,Y159)-1)))</f>
        <v>52</v>
      </c>
      <c r="AA159" s="177" t="str">
        <f>IF(L159="","",VLOOKUP($L159,classifications!C:I,7,FALSE))</f>
        <v>Predominantly Rural</v>
      </c>
      <c r="AB159" s="173">
        <f t="shared" si="63"/>
        <v>29</v>
      </c>
      <c r="AC159" s="173">
        <f>IF(AB159="","",IF($I$8="A",(RANK(AB159,AB$11:AB$333)+COUNTIF(AB$11:AB159,AB159)-1),(RANK(AB159,AB$11:AB$333,1)+COUNTIF(AB$11:AB159,AB159)-1)))</f>
        <v>8</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Warwickshire</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West Midlands</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17</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Cotswold</v>
      </c>
      <c r="M160" s="109">
        <f t="shared" si="70"/>
        <v>30</v>
      </c>
      <c r="N160" s="104">
        <f t="shared" si="55"/>
        <v>30</v>
      </c>
      <c r="O160" s="89" t="str">
        <f t="shared" si="56"/>
        <v/>
      </c>
      <c r="P160" s="89" t="str">
        <f t="shared" si="57"/>
        <v/>
      </c>
      <c r="Q160" s="89" t="str">
        <f t="shared" si="58"/>
        <v/>
      </c>
      <c r="R160" s="85">
        <f t="shared" si="59"/>
        <v>30</v>
      </c>
      <c r="S160" s="41" t="str">
        <f t="shared" si="60"/>
        <v/>
      </c>
      <c r="T160" s="166" t="str">
        <f>IF(L160="","",VLOOKUP(L160,classifications!C:K,9,FALSE))</f>
        <v>Sparse</v>
      </c>
      <c r="U160" s="167">
        <f t="shared" si="61"/>
        <v>30</v>
      </c>
      <c r="V160" s="173">
        <f>IF(U160="","",IF($I$8="A",(RANK(U160,U$11:U$333)+COUNTIF(U$11:U160,U160)-1),(RANK(U160,U$11:U$333,1)+COUNTIF(U$11:U160,U160)-1)))</f>
        <v>6</v>
      </c>
      <c r="W160" s="174"/>
      <c r="X160" s="5" t="str">
        <f>IF(L160="","",VLOOKUP($L160,classifications!$C:$J,6,FALSE))</f>
        <v xml:space="preserve">Predominantly Rural </v>
      </c>
      <c r="Y160">
        <f t="shared" si="62"/>
        <v>30</v>
      </c>
      <c r="Z160" s="39">
        <f>IF(Y160="","",IF(I$8="A",(RANK(Y160,Y$11:Y$333,1)+COUNTIF(Y$11:Y160,Y160)-1),(RANK(Y160,Y$11:Y$333)+COUNTIF(Y$11:Y160,Y160)-1)))</f>
        <v>53</v>
      </c>
      <c r="AA160" s="177" t="str">
        <f>IF(L160="","",VLOOKUP($L160,classifications!C:I,7,FALSE))</f>
        <v>Predominantly Rural</v>
      </c>
      <c r="AB160" s="173">
        <f t="shared" si="63"/>
        <v>30</v>
      </c>
      <c r="AC160" s="173">
        <f>IF(AB160="","",IF($I$8="A",(RANK(AB160,AB$11:AB$333)+COUNTIF(AB$11:AB160,AB160)-1),(RANK(AB160,AB$11:AB$333,1)+COUNTIF(AB$11:AB160,AB160)-1)))</f>
        <v>6</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Gloucestershire</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West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37</v>
      </c>
      <c r="G161" s="15"/>
      <c r="H161" s="41">
        <f t="shared" si="68"/>
        <v>37</v>
      </c>
      <c r="I161" s="73">
        <f>IF(H161="","",IF($I$8="A",(RANK(H161,H$11:H$333,1)+COUNTIF(H$11:H161,H161)-1),(RANK(H161,H$11:H$333)+COUNTIF(H$11:H161,H161)-1)))</f>
        <v>159</v>
      </c>
      <c r="J161" s="40"/>
      <c r="K161" s="35">
        <f t="shared" si="75"/>
        <v>151</v>
      </c>
      <c r="L161" t="str">
        <f t="shared" si="69"/>
        <v>North West Leicestershire</v>
      </c>
      <c r="M161" s="109">
        <f t="shared" si="70"/>
        <v>30</v>
      </c>
      <c r="N161" s="104">
        <f t="shared" si="55"/>
        <v>30</v>
      </c>
      <c r="O161" s="89" t="str">
        <f t="shared" si="56"/>
        <v/>
      </c>
      <c r="P161" s="89" t="str">
        <f t="shared" si="57"/>
        <v/>
      </c>
      <c r="Q161" s="89" t="str">
        <f t="shared" si="58"/>
        <v/>
      </c>
      <c r="R161" s="85">
        <f t="shared" si="59"/>
        <v>30</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 xml:space="preserve">Predominantly Rural </v>
      </c>
      <c r="Y161">
        <f t="shared" si="62"/>
        <v>30</v>
      </c>
      <c r="Z161" s="39">
        <f>IF(Y161="","",IF(I$8="A",(RANK(Y161,Y$11:Y$333,1)+COUNTIF(Y$11:Y161,Y161)-1),(RANK(Y161,Y$11:Y$333)+COUNTIF(Y$11:Y161,Y161)-1)))</f>
        <v>54</v>
      </c>
      <c r="AA161" s="177" t="str">
        <f>IF(L161="","",VLOOKUP($L161,classifications!C:I,7,FALSE))</f>
        <v>Predominantly Rural</v>
      </c>
      <c r="AB161" s="173">
        <f t="shared" si="63"/>
        <v>30</v>
      </c>
      <c r="AC161" s="173">
        <f>IF(AB161="","",IF($I$8="A",(RANK(AB161,AB$11:AB$333)+COUNTIF(AB$11:AB161,AB161)-1),(RANK(AB161,AB$11:AB$333,1)+COUNTIF(AB$11:AB161,AB161)-1)))</f>
        <v>7</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Leicestershire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East Midlands</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37</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15</v>
      </c>
      <c r="G162" s="15"/>
      <c r="H162" s="41" t="str">
        <f t="shared" si="68"/>
        <v/>
      </c>
      <c r="I162" s="73" t="str">
        <f>IF(H162="","",IF($I$8="A",(RANK(H162,H$11:H$333,1)+COUNTIF(H$11:H162,H162)-1),(RANK(H162,H$11:H$333)+COUNTIF(H$11:H162,H162)-1)))</f>
        <v/>
      </c>
      <c r="J162" s="40"/>
      <c r="K162" s="35">
        <f t="shared" si="75"/>
        <v>152</v>
      </c>
      <c r="L162" t="str">
        <f t="shared" si="69"/>
        <v>Bassetlaw</v>
      </c>
      <c r="M162" s="109">
        <f t="shared" si="70"/>
        <v>31</v>
      </c>
      <c r="N162" s="104">
        <f t="shared" si="55"/>
        <v>31</v>
      </c>
      <c r="O162" s="89" t="str">
        <f t="shared" si="56"/>
        <v/>
      </c>
      <c r="P162" s="89" t="str">
        <f t="shared" si="57"/>
        <v/>
      </c>
      <c r="Q162" s="89" t="str">
        <f t="shared" si="58"/>
        <v/>
      </c>
      <c r="R162" s="85">
        <f t="shared" si="59"/>
        <v>31</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 xml:space="preserve">Predominantly Rural </v>
      </c>
      <c r="Y162">
        <f t="shared" si="62"/>
        <v>31</v>
      </c>
      <c r="Z162" s="39">
        <f>IF(Y162="","",IF(I$8="A",(RANK(Y162,Y$11:Y$333,1)+COUNTIF(Y$11:Y162,Y162)-1),(RANK(Y162,Y$11:Y$333)+COUNTIF(Y$11:Y162,Y162)-1)))</f>
        <v>55</v>
      </c>
      <c r="AA162" s="177" t="str">
        <f>IF(L162="","",VLOOKUP($L162,classifications!C:I,7,FALSE))</f>
        <v>Predominantly Rural</v>
      </c>
      <c r="AB162" s="173">
        <f t="shared" si="63"/>
        <v>31</v>
      </c>
      <c r="AC162" s="173">
        <f>IF(AB162="","",IF($I$8="A",(RANK(AB162,AB$11:AB$333)+COUNTIF(AB$11:AB162,AB162)-1),(RANK(AB162,AB$11:AB$333,1)+COUNTIF(AB$11:AB162,AB162)-1)))</f>
        <v>4</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Nottinghamshire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East Midlands</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15</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28</v>
      </c>
      <c r="G163" s="15"/>
      <c r="H163" s="41">
        <f t="shared" si="68"/>
        <v>28</v>
      </c>
      <c r="I163" s="73">
        <f>IF(H163="","",IF($I$8="A",(RANK(H163,H$11:H$333,1)+COUNTIF(H$11:H163,H163)-1),(RANK(H163,H$11:H$333)+COUNTIF(H$11:H163,H163)-1)))</f>
        <v>147</v>
      </c>
      <c r="J163" s="40"/>
      <c r="K163" s="35">
        <f t="shared" si="75"/>
        <v>153</v>
      </c>
      <c r="L163" t="str">
        <f t="shared" si="69"/>
        <v>Horsham</v>
      </c>
      <c r="M163" s="109">
        <f t="shared" si="70"/>
        <v>31</v>
      </c>
      <c r="N163" s="104">
        <f t="shared" si="55"/>
        <v>31</v>
      </c>
      <c r="O163" s="89" t="str">
        <f t="shared" si="56"/>
        <v/>
      </c>
      <c r="P163" s="89" t="str">
        <f t="shared" si="57"/>
        <v/>
      </c>
      <c r="Q163" s="89" t="str">
        <f t="shared" si="58"/>
        <v/>
      </c>
      <c r="R163" s="85">
        <f t="shared" si="59"/>
        <v>31</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 xml:space="preserve">Predominantly Rural </v>
      </c>
      <c r="Y163">
        <f t="shared" si="62"/>
        <v>31</v>
      </c>
      <c r="Z163" s="39">
        <f>IF(Y163="","",IF(I$8="A",(RANK(Y163,Y$11:Y$333,1)+COUNTIF(Y$11:Y163,Y163)-1),(RANK(Y163,Y$11:Y$333)+COUNTIF(Y$11:Y163,Y163)-1)))</f>
        <v>56</v>
      </c>
      <c r="AA163" s="177" t="str">
        <f>IF(L163="","",VLOOKUP($L163,classifications!C:I,7,FALSE))</f>
        <v>Predominantly Rural</v>
      </c>
      <c r="AB163" s="173">
        <f t="shared" si="63"/>
        <v>31</v>
      </c>
      <c r="AC163" s="173">
        <f>IF(AB163="","",IF($I$8="A",(RANK(AB163,AB$11:AB$333)+COUNTIF(AB$11:AB163,AB163)-1),(RANK(AB163,AB$11:AB$333,1)+COUNTIF(AB$11:AB163,AB163)-1)))</f>
        <v>5</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West Sussex</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South East</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28</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16</v>
      </c>
      <c r="G164" s="15"/>
      <c r="H164" s="41">
        <f t="shared" si="68"/>
        <v>16</v>
      </c>
      <c r="I164" s="73">
        <f>IF(H164="","",IF($I$8="A",(RANK(H164,H$11:H$333,1)+COUNTIF(H$11:H164,H164)-1),(RANK(H164,H$11:H$333)+COUNTIF(H$11:H164,H164)-1)))</f>
        <v>47</v>
      </c>
      <c r="J164" s="40"/>
      <c r="K164" s="35">
        <f t="shared" si="75"/>
        <v>154</v>
      </c>
      <c r="L164" t="str">
        <f t="shared" si="69"/>
        <v>Test Valley</v>
      </c>
      <c r="M164" s="109">
        <f t="shared" si="70"/>
        <v>31</v>
      </c>
      <c r="N164" s="104">
        <f t="shared" si="55"/>
        <v>31</v>
      </c>
      <c r="O164" s="89" t="str">
        <f t="shared" si="56"/>
        <v/>
      </c>
      <c r="P164" s="89" t="str">
        <f t="shared" si="57"/>
        <v/>
      </c>
      <c r="Q164" s="89" t="str">
        <f t="shared" si="58"/>
        <v/>
      </c>
      <c r="R164" s="85">
        <f t="shared" si="59"/>
        <v>31</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Urban with Significant Rural</v>
      </c>
      <c r="Y164" t="str">
        <f t="shared" si="62"/>
        <v/>
      </c>
      <c r="Z164" s="39" t="str">
        <f>IF(Y164="","",IF(I$8="A",(RANK(Y164,Y$11:Y$333,1)+COUNTIF(Y$11:Y164,Y164)-1),(RANK(Y164,Y$11:Y$333)+COUNTIF(Y$11:Y164,Y164)-1)))</f>
        <v/>
      </c>
      <c r="AA164" s="177" t="str">
        <f>IF(L164="","",VLOOKUP($L164,classifications!C:I,7,FALSE))</f>
        <v>Urban with Significant Rural</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Hampshire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South East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16</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Adur</v>
      </c>
      <c r="M165" s="109">
        <f t="shared" si="70"/>
        <v>32</v>
      </c>
      <c r="N165" s="104">
        <f t="shared" si="55"/>
        <v>32</v>
      </c>
      <c r="O165" s="89" t="str">
        <f t="shared" si="56"/>
        <v/>
      </c>
      <c r="P165" s="89" t="str">
        <f t="shared" si="57"/>
        <v/>
      </c>
      <c r="Q165" s="89" t="str">
        <f t="shared" si="58"/>
        <v/>
      </c>
      <c r="R165" s="85">
        <f t="shared" si="59"/>
        <v>32</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West Sussex</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South East</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30</v>
      </c>
      <c r="G166" s="15"/>
      <c r="H166" s="41" t="str">
        <f t="shared" si="68"/>
        <v/>
      </c>
      <c r="I166" s="73" t="str">
        <f>IF(H166="","",IF($I$8="A",(RANK(H166,H$11:H$333,1)+COUNTIF(H$11:H166,H166)-1),(RANK(H166,H$11:H$333)+COUNTIF(H$11:H166,H166)-1)))</f>
        <v/>
      </c>
      <c r="J166" s="40"/>
      <c r="K166" s="35">
        <f t="shared" si="75"/>
        <v>156</v>
      </c>
      <c r="L166" t="str">
        <f t="shared" si="69"/>
        <v>Stratford-on-Avon</v>
      </c>
      <c r="M166" s="109">
        <f t="shared" si="70"/>
        <v>32</v>
      </c>
      <c r="N166" s="104">
        <f t="shared" si="55"/>
        <v>32</v>
      </c>
      <c r="O166" s="89" t="str">
        <f t="shared" si="56"/>
        <v/>
      </c>
      <c r="P166" s="89" t="str">
        <f t="shared" si="57"/>
        <v/>
      </c>
      <c r="Q166" s="89" t="str">
        <f t="shared" si="58"/>
        <v/>
      </c>
      <c r="R166" s="85">
        <f t="shared" si="59"/>
        <v>32</v>
      </c>
      <c r="S166" s="41" t="str">
        <f t="shared" si="60"/>
        <v/>
      </c>
      <c r="T166" s="166" t="str">
        <f>IF(L166="","",VLOOKUP(L166,classifications!C:K,9,FALSE))</f>
        <v>Sparse</v>
      </c>
      <c r="U166" s="167">
        <f t="shared" si="61"/>
        <v>32</v>
      </c>
      <c r="V166" s="173">
        <f>IF(U166="","",IF($I$8="A",(RANK(U166,U$11:U$333)+COUNTIF(U$11:U166,U166)-1),(RANK(U166,U$11:U$333,1)+COUNTIF(U$11:U166,U166)-1)))</f>
        <v>5</v>
      </c>
      <c r="W166" s="174"/>
      <c r="X166" s="5" t="str">
        <f>IF(L166="","",VLOOKUP($L166,classifications!$C:$J,6,FALSE))</f>
        <v xml:space="preserve">Predominantly Rural </v>
      </c>
      <c r="Y166">
        <f t="shared" si="62"/>
        <v>32</v>
      </c>
      <c r="Z166" s="39">
        <f>IF(Y166="","",IF(I$8="A",(RANK(Y166,Y$11:Y$333,1)+COUNTIF(Y$11:Y166,Y166)-1),(RANK(Y166,Y$11:Y$333)+COUNTIF(Y$11:Y166,Y166)-1)))</f>
        <v>57</v>
      </c>
      <c r="AA166" s="177" t="str">
        <f>IF(L166="","",VLOOKUP($L166,classifications!C:I,7,FALSE))</f>
        <v>Predominantly Rural</v>
      </c>
      <c r="AB166" s="173">
        <f t="shared" si="63"/>
        <v>32</v>
      </c>
      <c r="AC166" s="173">
        <f>IF(AB166="","",IF($I$8="A",(RANK(AB166,AB$11:AB$333)+COUNTIF(AB$11:AB166,AB166)-1),(RANK(AB166,AB$11:AB$333,1)+COUNTIF(AB$11:AB166,AB166)-1)))</f>
        <v>3</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Warwickshire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West Midlands</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30</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24</v>
      </c>
      <c r="G167" s="15"/>
      <c r="H167" s="41" t="str">
        <f t="shared" si="68"/>
        <v/>
      </c>
      <c r="I167" s="73" t="str">
        <f>IF(H167="","",IF($I$8="A",(RANK(H167,H$11:H$333,1)+COUNTIF(H$11:H167,H167)-1),(RANK(H167,H$11:H$333)+COUNTIF(H$11:H167,H167)-1)))</f>
        <v/>
      </c>
      <c r="J167" s="40"/>
      <c r="K167" s="35">
        <f t="shared" si="75"/>
        <v>157</v>
      </c>
      <c r="L167" t="str">
        <f t="shared" si="69"/>
        <v>Hertsmere</v>
      </c>
      <c r="M167" s="109">
        <f t="shared" si="70"/>
        <v>33</v>
      </c>
      <c r="N167" s="104">
        <f t="shared" si="55"/>
        <v>33</v>
      </c>
      <c r="O167" s="89" t="str">
        <f t="shared" si="56"/>
        <v/>
      </c>
      <c r="P167" s="89" t="str">
        <f t="shared" si="57"/>
        <v/>
      </c>
      <c r="Q167" s="89" t="str">
        <f t="shared" si="58"/>
        <v/>
      </c>
      <c r="R167" s="85">
        <f t="shared" si="59"/>
        <v>33</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Hertfordshire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East of England</v>
      </c>
      <c r="AQ167" s="42">
        <f t="shared" si="66"/>
        <v>33</v>
      </c>
      <c r="AR167" s="39">
        <f>IF(AQ167="","",IF(I$8="A",(RANK(AQ167,AQ$11:AQ$333,1)+COUNTIF(AQ$11:AQ167,AQ167)-1),(RANK(AQ167,AQ$11:AQ$333)+COUNTIF(AQ$11:AQ167,AQ167)-1)))</f>
        <v>38</v>
      </c>
      <c r="AS167" s="3" t="str">
        <f t="shared" si="78"/>
        <v/>
      </c>
      <c r="AT167" s="39" t="str">
        <f t="shared" si="73"/>
        <v/>
      </c>
      <c r="AU167" s="42" t="str">
        <f t="shared" si="74"/>
        <v/>
      </c>
      <c r="AX167">
        <f>HLOOKUP($AX$9&amp;$AX$10,Data!$A$1:$ZT$1975,(MATCH($C167,Data!$A$1:$A$1975,0)),FALSE)</f>
        <v>24</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18</v>
      </c>
      <c r="G168" s="15"/>
      <c r="H168" s="41">
        <f t="shared" si="68"/>
        <v>18</v>
      </c>
      <c r="I168" s="73">
        <f>IF(H168="","",IF($I$8="A",(RANK(H168,H$11:H$333,1)+COUNTIF(H$11:H168,H168)-1),(RANK(H168,H$11:H$333)+COUNTIF(H$11:H168,H168)-1)))</f>
        <v>66</v>
      </c>
      <c r="J168" s="40"/>
      <c r="K168" s="35">
        <f t="shared" si="75"/>
        <v>158</v>
      </c>
      <c r="L168" t="str">
        <f t="shared" si="69"/>
        <v>South Holland</v>
      </c>
      <c r="M168" s="109">
        <f t="shared" si="70"/>
        <v>34</v>
      </c>
      <c r="N168" s="104">
        <f t="shared" si="55"/>
        <v>34</v>
      </c>
      <c r="O168" s="89" t="str">
        <f t="shared" si="56"/>
        <v/>
      </c>
      <c r="P168" s="89" t="str">
        <f t="shared" si="57"/>
        <v/>
      </c>
      <c r="Q168" s="89" t="str">
        <f t="shared" si="58"/>
        <v/>
      </c>
      <c r="R168" s="85">
        <f t="shared" si="59"/>
        <v>34</v>
      </c>
      <c r="S168" s="41" t="str">
        <f t="shared" si="60"/>
        <v/>
      </c>
      <c r="T168" s="166" t="str">
        <f>IF(L168="","",VLOOKUP(L168,classifications!C:K,9,FALSE))</f>
        <v>Sparse</v>
      </c>
      <c r="U168" s="167">
        <f t="shared" si="61"/>
        <v>34</v>
      </c>
      <c r="V168" s="173">
        <f>IF(U168="","",IF($I$8="A",(RANK(U168,U$11:U$333)+COUNTIF(U$11:U168,U168)-1),(RANK(U168,U$11:U$333,1)+COUNTIF(U$11:U168,U168)-1)))</f>
        <v>4</v>
      </c>
      <c r="W168" s="174"/>
      <c r="X168" s="5" t="str">
        <f>IF(L168="","",VLOOKUP($L168,classifications!$C:$J,6,FALSE))</f>
        <v xml:space="preserve">Predominantly Rural </v>
      </c>
      <c r="Y168">
        <f t="shared" si="62"/>
        <v>34</v>
      </c>
      <c r="Z168" s="39">
        <f>IF(Y168="","",IF(I$8="A",(RANK(Y168,Y$11:Y$333,1)+COUNTIF(Y$11:Y168,Y168)-1),(RANK(Y168,Y$11:Y$333)+COUNTIF(Y$11:Y168,Y168)-1)))</f>
        <v>58</v>
      </c>
      <c r="AA168" s="177" t="str">
        <f>IF(L168="","",VLOOKUP($L168,classifications!C:I,7,FALSE))</f>
        <v>Predominantly Rural</v>
      </c>
      <c r="AB168" s="173">
        <f t="shared" si="63"/>
        <v>34</v>
      </c>
      <c r="AC168" s="173">
        <f>IF(AB168="","",IF($I$8="A",(RANK(AB168,AB$11:AB$333)+COUNTIF(AB$11:AB168,AB168)-1),(RANK(AB168,AB$11:AB$333,1)+COUNTIF(AB$11:AB168,AB168)-1)))</f>
        <v>2</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Lincolnshire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East Midlands</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18</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22</v>
      </c>
      <c r="G169" s="15"/>
      <c r="H169" s="41">
        <f t="shared" si="68"/>
        <v>22</v>
      </c>
      <c r="I169" s="73">
        <f>IF(H169="","",IF($I$8="A",(RANK(H169,H$11:H$333,1)+COUNTIF(H$11:H169,H169)-1),(RANK(H169,H$11:H$333)+COUNTIF(H$11:H169,H169)-1)))</f>
        <v>103</v>
      </c>
      <c r="J169" s="40"/>
      <c r="K169" s="35">
        <f t="shared" si="75"/>
        <v>159</v>
      </c>
      <c r="L169" t="str">
        <f t="shared" si="69"/>
        <v>Lewes</v>
      </c>
      <c r="M169" s="109">
        <f t="shared" si="70"/>
        <v>37</v>
      </c>
      <c r="N169" s="104">
        <f t="shared" si="55"/>
        <v>37</v>
      </c>
      <c r="O169" s="89" t="str">
        <f t="shared" si="56"/>
        <v/>
      </c>
      <c r="P169" s="89" t="str">
        <f t="shared" si="57"/>
        <v/>
      </c>
      <c r="Q169" s="89" t="str">
        <f t="shared" si="58"/>
        <v/>
      </c>
      <c r="R169" s="85">
        <f t="shared" si="59"/>
        <v>37</v>
      </c>
      <c r="S169" s="41" t="str">
        <f t="shared" si="60"/>
        <v/>
      </c>
      <c r="T169" s="166" t="str">
        <f>IF(L169="","",VLOOKUP(L169,classifications!C:K,9,FALSE))</f>
        <v>Sparse</v>
      </c>
      <c r="U169" s="167">
        <f t="shared" si="61"/>
        <v>37</v>
      </c>
      <c r="V169" s="173">
        <f>IF(U169="","",IF($I$8="A",(RANK(U169,U$11:U$333)+COUNTIF(U$11:U169,U169)-1),(RANK(U169,U$11:U$333,1)+COUNTIF(U$11:U169,U169)-1)))</f>
        <v>3</v>
      </c>
      <c r="W169" s="174"/>
      <c r="X169" s="5" t="str">
        <f>IF(L169="","",VLOOKUP($L169,classifications!$C:$J,6,FALSE))</f>
        <v>Urban with Significant Rural</v>
      </c>
      <c r="Y169" t="str">
        <f t="shared" si="62"/>
        <v/>
      </c>
      <c r="Z169" s="39" t="str">
        <f>IF(Y169="","",IF(I$8="A",(RANK(Y169,Y$11:Y$333,1)+COUNTIF(Y$11:Y169,Y169)-1),(RANK(Y169,Y$11:Y$333)+COUNTIF(Y$11:Y169,Y169)-1)))</f>
        <v/>
      </c>
      <c r="AA169" s="177" t="str">
        <f>IF(L169="","",VLOOKUP($L169,classifications!C:I,7,FALSE))</f>
        <v>Urban with Significant Rural</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East Sussex</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South East</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22</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23</v>
      </c>
      <c r="G170" s="15"/>
      <c r="H170" s="41">
        <f t="shared" si="68"/>
        <v>23</v>
      </c>
      <c r="I170" s="73">
        <f>IF(H170="","",IF($I$8="A",(RANK(H170,H$11:H$333,1)+COUNTIF(H$11:H170,H170)-1),(RANK(H170,H$11:H$333)+COUNTIF(H$11:H170,H170)-1)))</f>
        <v>113</v>
      </c>
      <c r="J170" s="40"/>
      <c r="K170" s="35">
        <f t="shared" si="75"/>
        <v>160</v>
      </c>
      <c r="L170" t="str">
        <f t="shared" si="69"/>
        <v>East Lindsey</v>
      </c>
      <c r="M170" s="109">
        <f t="shared" si="70"/>
        <v>40</v>
      </c>
      <c r="N170" s="104">
        <f t="shared" si="55"/>
        <v>40</v>
      </c>
      <c r="O170" s="89" t="str">
        <f t="shared" si="56"/>
        <v/>
      </c>
      <c r="P170" s="89" t="str">
        <f t="shared" si="57"/>
        <v/>
      </c>
      <c r="Q170" s="89" t="str">
        <f t="shared" si="58"/>
        <v/>
      </c>
      <c r="R170" s="85">
        <f t="shared" si="59"/>
        <v>40</v>
      </c>
      <c r="S170" s="41" t="str">
        <f t="shared" si="60"/>
        <v/>
      </c>
      <c r="T170" s="166" t="str">
        <f>IF(L170="","",VLOOKUP(L170,classifications!C:K,9,FALSE))</f>
        <v>Sparse</v>
      </c>
      <c r="U170" s="167">
        <f t="shared" si="61"/>
        <v>40</v>
      </c>
      <c r="V170" s="173">
        <f>IF(U170="","",IF($I$8="A",(RANK(U170,U$11:U$333)+COUNTIF(U$11:U170,U170)-1),(RANK(U170,U$11:U$333,1)+COUNTIF(U$11:U170,U170)-1)))</f>
        <v>1</v>
      </c>
      <c r="W170" s="174"/>
      <c r="X170" s="5" t="str">
        <f>IF(L170="","",VLOOKUP($L170,classifications!$C:$J,6,FALSE))</f>
        <v xml:space="preserve">Predominantly Rural </v>
      </c>
      <c r="Y170">
        <f t="shared" si="62"/>
        <v>40</v>
      </c>
      <c r="Z170" s="39">
        <f>IF(Y170="","",IF(I$8="A",(RANK(Y170,Y$11:Y$333,1)+COUNTIF(Y$11:Y170,Y170)-1),(RANK(Y170,Y$11:Y$333)+COUNTIF(Y$11:Y170,Y170)-1)))</f>
        <v>59</v>
      </c>
      <c r="AA170" s="177" t="str">
        <f>IF(L170="","",VLOOKUP($L170,classifications!C:I,7,FALSE))</f>
        <v>Predominantly Rural</v>
      </c>
      <c r="AB170" s="173">
        <f t="shared" si="63"/>
        <v>40</v>
      </c>
      <c r="AC170" s="173">
        <f>IF(AB170="","",IF($I$8="A",(RANK(AB170,AB$11:AB$333)+COUNTIF(AB$11:AB170,AB170)-1),(RANK(AB170,AB$11:AB$333,1)+COUNTIF(AB$11:AB170,AB170)-1)))</f>
        <v>1</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Lincolnshire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23</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26</v>
      </c>
      <c r="G171" s="15"/>
      <c r="H171" s="41" t="str">
        <f t="shared" si="68"/>
        <v/>
      </c>
      <c r="I171" s="73" t="str">
        <f>IF(H171="","",IF($I$8="A",(RANK(H171,H$11:H$333,1)+COUNTIF(H$11:H171,H171)-1),(RANK(H171,H$11:H$333)+COUNTIF(H$11:H171,H171)-1)))</f>
        <v/>
      </c>
      <c r="J171" s="40"/>
      <c r="K171" s="35">
        <f t="shared" si="75"/>
        <v>161</v>
      </c>
      <c r="L171" t="str">
        <f t="shared" si="69"/>
        <v>Stafford</v>
      </c>
      <c r="M171" s="109">
        <f t="shared" si="70"/>
        <v>40</v>
      </c>
      <c r="N171" s="104">
        <f t="shared" si="55"/>
        <v>40</v>
      </c>
      <c r="O171" s="89" t="str">
        <f t="shared" si="56"/>
        <v/>
      </c>
      <c r="P171" s="89" t="str">
        <f t="shared" si="57"/>
        <v/>
      </c>
      <c r="Q171" s="89" t="str">
        <f t="shared" si="58"/>
        <v/>
      </c>
      <c r="R171" s="85">
        <f t="shared" si="59"/>
        <v>40</v>
      </c>
      <c r="S171" s="41" t="str">
        <f t="shared" si="60"/>
        <v/>
      </c>
      <c r="T171" s="166" t="str">
        <f>IF(L171="","",VLOOKUP(L171,classifications!C:K,9,FALSE))</f>
        <v>Sparse</v>
      </c>
      <c r="U171" s="167">
        <f t="shared" si="61"/>
        <v>40</v>
      </c>
      <c r="V171" s="173">
        <f>IF(U171="","",IF($I$8="A",(RANK(U171,U$11:U$333)+COUNTIF(U$11:U171,U171)-1),(RANK(U171,U$11:U$333,1)+COUNTIF(U$11:U171,U171)-1)))</f>
        <v>2</v>
      </c>
      <c r="W171" s="174"/>
      <c r="X171" s="5" t="str">
        <f>IF(L171="","",VLOOKUP($L171,classifications!$C:$J,6,FALSE))</f>
        <v>Urban with Significant Rural</v>
      </c>
      <c r="Y171" t="str">
        <f t="shared" si="62"/>
        <v/>
      </c>
      <c r="Z171" s="39" t="str">
        <f>IF(Y171="","",IF(I$8="A",(RANK(Y171,Y$11:Y$333,1)+COUNTIF(Y$11:Y171,Y171)-1),(RANK(Y171,Y$11:Y$333)+COUNTIF(Y$11:Y171,Y171)-1)))</f>
        <v/>
      </c>
      <c r="AA171" s="177" t="str">
        <f>IF(L171="","",VLOOKUP($L171,classifications!C:I,7,FALSE))</f>
        <v>Urban with Significant Rural</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Staffordshire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West Midlands</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26</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16</v>
      </c>
      <c r="G172" s="15"/>
      <c r="H172" s="41">
        <f t="shared" si="68"/>
        <v>16</v>
      </c>
      <c r="I172" s="73">
        <f>IF(H172="","",IF($I$8="A",(RANK(H172,H$11:H$333,1)+COUNTIF(H$11:H172,H172)-1),(RANK(H172,H$11:H$333)+COUNTIF(H$11:H172,H172)-1)))</f>
        <v>48</v>
      </c>
      <c r="J172" s="40"/>
      <c r="K172" s="35">
        <f t="shared" si="75"/>
        <v>162</v>
      </c>
      <c r="L172" t="str">
        <f t="shared" si="69"/>
        <v>Cannock Chase</v>
      </c>
      <c r="M172" s="109">
        <f t="shared" si="70"/>
        <v>45</v>
      </c>
      <c r="N172" s="104">
        <f t="shared" si="55"/>
        <v>45</v>
      </c>
      <c r="O172" s="89" t="str">
        <f t="shared" si="56"/>
        <v/>
      </c>
      <c r="P172" s="89" t="str">
        <f t="shared" si="57"/>
        <v/>
      </c>
      <c r="Q172" s="89" t="str">
        <f t="shared" si="58"/>
        <v/>
      </c>
      <c r="R172" s="85">
        <f t="shared" si="59"/>
        <v>45</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Urban with Significant Rural</v>
      </c>
      <c r="Y172" t="str">
        <f t="shared" si="62"/>
        <v/>
      </c>
      <c r="Z172" s="39" t="str">
        <f>IF(Y172="","",IF(I$8="A",(RANK(Y172,Y$11:Y$333,1)+COUNTIF(Y$11:Y172,Y172)-1),(RANK(Y172,Y$11:Y$333)+COUNTIF(Y$11:Y172,Y172)-1)))</f>
        <v/>
      </c>
      <c r="AA172" s="177" t="str">
        <f>IF(L172="","",VLOOKUP($L172,classifications!C:I,7,FALSE))</f>
        <v>Urban with Significant Rural</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Staffordshire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West Midlands</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16</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38</v>
      </c>
      <c r="G173" s="15"/>
      <c r="H173" s="41" t="str">
        <f t="shared" si="68"/>
        <v/>
      </c>
      <c r="I173" s="73" t="str">
        <f>IF(H173="","",IF($I$8="A",(RANK(H173,H$11:H$333,1)+COUNTIF(H$11:H173,H173)-1),(RANK(H173,H$11:H$333)+COUNTIF(H$11:H173,H173)-1)))</f>
        <v/>
      </c>
      <c r="J173" s="40"/>
      <c r="K173" s="35">
        <f t="shared" si="75"/>
        <v>163</v>
      </c>
      <c r="L173" t="str">
        <f t="shared" si="69"/>
        <v>Chelmsford</v>
      </c>
      <c r="M173" s="109">
        <f t="shared" si="70"/>
        <v>72</v>
      </c>
      <c r="N173" s="104">
        <f t="shared" si="55"/>
        <v>72</v>
      </c>
      <c r="O173" s="89" t="str">
        <f t="shared" si="56"/>
        <v/>
      </c>
      <c r="P173" s="89" t="str">
        <f t="shared" si="57"/>
        <v/>
      </c>
      <c r="Q173" s="89" t="str">
        <f t="shared" si="58"/>
        <v/>
      </c>
      <c r="R173" s="85">
        <f t="shared" si="59"/>
        <v>72</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Essex</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East of England</v>
      </c>
      <c r="AQ173" s="42">
        <f t="shared" si="66"/>
        <v>72</v>
      </c>
      <c r="AR173" s="39">
        <f>IF(AQ173="","",IF(I$8="A",(RANK(AQ173,AQ$11:AQ$333,1)+COUNTIF(AQ$11:AQ173,AQ173)-1),(RANK(AQ173,AQ$11:AQ$333)+COUNTIF(AQ$11:AQ173,AQ173)-1)))</f>
        <v>39</v>
      </c>
      <c r="AS173" s="3" t="str">
        <f t="shared" si="78"/>
        <v/>
      </c>
      <c r="AT173" s="39" t="str">
        <f t="shared" si="73"/>
        <v/>
      </c>
      <c r="AU173" s="42" t="str">
        <f t="shared" si="74"/>
        <v/>
      </c>
      <c r="AX173">
        <f>HLOOKUP($AX$9&amp;$AX$10,Data!$A$1:$ZT$1975,(MATCH($C173,Data!$A$1:$A$1975,0)),FALSE)</f>
        <v>38</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22</v>
      </c>
      <c r="G174" s="15"/>
      <c r="H174" s="41">
        <f t="shared" si="68"/>
        <v>22</v>
      </c>
      <c r="I174" s="73">
        <f>IF(H174="","",IF($I$8="A",(RANK(H174,H$11:H$333,1)+COUNTIF(H$11:H174,H174)-1),(RANK(H174,H$11:H$333)+COUNTIF(H$11:H174,H174)-1)))</f>
        <v>104</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22</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32</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32</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18</v>
      </c>
      <c r="G176" s="15"/>
      <c r="H176" s="41">
        <f t="shared" si="68"/>
        <v>18</v>
      </c>
      <c r="I176" s="73">
        <f>IF(H176="","",IF($I$8="A",(RANK(H176,H$11:H$333,1)+COUNTIF(H$11:H176,H176)-1),(RANK(H176,H$11:H$333)+COUNTIF(H$11:H176,H176)-1)))</f>
        <v>67</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18</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18</v>
      </c>
      <c r="G177" s="15"/>
      <c r="H177" s="41">
        <f t="shared" si="68"/>
        <v>18</v>
      </c>
      <c r="I177" s="73">
        <f>IF(H177="","",IF($I$8="A",(RANK(H177,H$11:H$333,1)+COUNTIF(H$11:H177,H177)-1),(RANK(H177,H$11:H$333)+COUNTIF(H$11:H177,H177)-1)))</f>
        <v>68</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18</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18</v>
      </c>
      <c r="G178" s="15"/>
      <c r="H178" s="41">
        <f t="shared" si="68"/>
        <v>18</v>
      </c>
      <c r="I178" s="73">
        <f>IF(H178="","",IF($I$8="A",(RANK(H178,H$11:H$333,1)+COUNTIF(H$11:H178,H178)-1),(RANK(H178,H$11:H$333)+COUNTIF(H$11:H178,H178)-1)))</f>
        <v>69</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18</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28</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28</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16</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16</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23</v>
      </c>
      <c r="G181" s="15"/>
      <c r="H181" s="41">
        <f t="shared" si="68"/>
        <v>23</v>
      </c>
      <c r="I181" s="73">
        <f>IF(H181="","",IF($I$8="A",(RANK(H181,H$11:H$333,1)+COUNTIF(H$11:H181,H181)-1),(RANK(H181,H$11:H$333)+COUNTIF(H$11:H181,H181)-1)))</f>
        <v>114</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23</v>
      </c>
    </row>
    <row r="182" spans="1:50">
      <c r="A182" s="55" t="str">
        <f>$D$1&amp;172</f>
        <v>SD172</v>
      </c>
      <c r="B182" s="56">
        <f>IF(ISERROR(VLOOKUP(A182,classifications!A:C,3,FALSE)),0,VLOOKUP(A182,classifications!A:C,3,FALSE))</f>
        <v>0</v>
      </c>
      <c r="C182" t="s">
        <v>106</v>
      </c>
      <c r="D182" t="str">
        <f>VLOOKUP($C182,classifications!$C:$J,4,FALSE)</f>
        <v>SD</v>
      </c>
      <c r="E182" t="str">
        <f>VLOOKUP(C182,classifications!C:K,9,FALSE)</f>
        <v>Sparse</v>
      </c>
      <c r="F182">
        <f t="shared" si="67"/>
        <v>11</v>
      </c>
      <c r="G182" s="15"/>
      <c r="H182" s="41">
        <f t="shared" si="68"/>
        <v>11</v>
      </c>
      <c r="I182" s="73">
        <f>IF(H182="","",IF($I$8="A",(RANK(H182,H$11:H$333,1)+COUNTIF(H$11:H182,H182)-1),(RANK(H182,H$11:H$333)+COUNTIF(H$11:H182,H182)-1)))</f>
        <v>15</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11</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13</v>
      </c>
      <c r="G183" s="15"/>
      <c r="H183" s="41">
        <f t="shared" si="68"/>
        <v>13</v>
      </c>
      <c r="I183" s="73">
        <f>IF(H183="","",IF($I$8="A",(RANK(H183,H$11:H$333,1)+COUNTIF(H$11:H183,H183)-1),(RANK(H183,H$11:H$333)+COUNTIF(H$11:H183,H183)-1)))</f>
        <v>25</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13</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15</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15</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12</v>
      </c>
      <c r="G185" s="15"/>
      <c r="H185" s="41">
        <f t="shared" si="68"/>
        <v>12</v>
      </c>
      <c r="I185" s="73">
        <f>IF(H185="","",IF($I$8="A",(RANK(H185,H$11:H$333,1)+COUNTIF(H$11:H185,H185)-1),(RANK(H185,H$11:H$333)+COUNTIF(H$11:H185,H185)-1)))</f>
        <v>19</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12</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42</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42</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25</v>
      </c>
      <c r="G188" s="15"/>
      <c r="H188" s="41">
        <f t="shared" si="68"/>
        <v>25</v>
      </c>
      <c r="I188" s="73">
        <f>IF(H188="","",IF($I$8="A",(RANK(H188,H$11:H$333,1)+COUNTIF(H$11:H188,H188)-1),(RANK(H188,H$11:H$333)+COUNTIF(H$11:H188,H188)-1)))</f>
        <v>133</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25</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22</v>
      </c>
      <c r="G189" s="15"/>
      <c r="H189" s="41">
        <f t="shared" si="68"/>
        <v>22</v>
      </c>
      <c r="I189" s="73">
        <f>IF(H189="","",IF($I$8="A",(RANK(H189,H$11:H$333,1)+COUNTIF(H$11:H189,H189)-1),(RANK(H189,H$11:H$333)+COUNTIF(H$11:H189,H189)-1)))</f>
        <v>105</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22</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33</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33</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20</v>
      </c>
      <c r="G191" s="15"/>
      <c r="H191" s="41">
        <f t="shared" si="68"/>
        <v>20</v>
      </c>
      <c r="I191" s="73">
        <f>IF(H191="","",IF($I$8="A",(RANK(H191,H$11:H$333,1)+COUNTIF(H$11:H191,H191)-1),(RANK(H191,H$11:H$333)+COUNTIF(H$11:H191,H191)-1)))</f>
        <v>89</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20</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19</v>
      </c>
      <c r="G192" s="15"/>
      <c r="H192" s="41">
        <f t="shared" si="68"/>
        <v>19</v>
      </c>
      <c r="I192" s="73">
        <f>IF(H192="","",IF($I$8="A",(RANK(H192,H$11:H$333,1)+COUNTIF(H$11:H192,H192)-1),(RANK(H192,H$11:H$333)+COUNTIF(H$11:H192,H192)-1)))</f>
        <v>79</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19</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33</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33</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13</v>
      </c>
      <c r="G194" s="15"/>
      <c r="H194" s="41">
        <f t="shared" si="68"/>
        <v>13</v>
      </c>
      <c r="I194" s="73">
        <f>IF(H194="","",IF($I$8="A",(RANK(H194,H$11:H$333,1)+COUNTIF(H$11:H194,H194)-1),(RANK(H194,H$11:H$333)+COUNTIF(H$11:H194,H194)-1)))</f>
        <v>26</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13</v>
      </c>
    </row>
    <row r="195" spans="1:50">
      <c r="A195" s="55" t="str">
        <f>$D$1&amp;185</f>
        <v>SD185</v>
      </c>
      <c r="B195" s="56">
        <f>IF(ISERROR(VLOOKUP(A195,classifications!A:C,3,FALSE)),0,VLOOKUP(A195,classifications!A:C,3,FALSE))</f>
        <v>0</v>
      </c>
      <c r="C195" t="s">
        <v>894</v>
      </c>
      <c r="D195" t="str">
        <f>VLOOKUP($C195,classifications!$C:$J,4,FALSE)</f>
        <v>UA</v>
      </c>
      <c r="E195">
        <f>VLOOKUP(C195,classifications!C:K,9,FALSE)</f>
        <v>0</v>
      </c>
      <c r="F195">
        <f t="shared" si="67"/>
        <v>39</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39</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6</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6</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23</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23</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29</v>
      </c>
      <c r="G198" s="15"/>
      <c r="H198" s="41">
        <f t="shared" si="68"/>
        <v>29</v>
      </c>
      <c r="I198" s="73">
        <f>IF(H198="","",IF($I$8="A",(RANK(H198,H$11:H$333,1)+COUNTIF(H$11:H198,H198)-1),(RANK(H198,H$11:H$333)+COUNTIF(H$11:H198,H198)-1)))</f>
        <v>149</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29</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30</v>
      </c>
      <c r="G199" s="15"/>
      <c r="H199" s="41">
        <f t="shared" si="68"/>
        <v>30</v>
      </c>
      <c r="I199" s="73">
        <f>IF(H199="","",IF($I$8="A",(RANK(H199,H$11:H$333,1)+COUNTIF(H$11:H199,H199)-1),(RANK(H199,H$11:H$333)+COUNTIF(H$11:H199,H199)-1)))</f>
        <v>151</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30</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23.03921568627451</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23.03921568627451</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13</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13</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22</v>
      </c>
      <c r="G202" s="15"/>
      <c r="H202" s="41">
        <f t="shared" si="68"/>
        <v>22</v>
      </c>
      <c r="I202" s="73">
        <f>IF(H202="","",IF($I$8="A",(RANK(H202,H$11:H$333,1)+COUNTIF(H$11:H202,H202)-1),(RANK(H202,H$11:H$333)+COUNTIF(H$11:H202,H202)-1)))</f>
        <v>106</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22</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25</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25</v>
      </c>
    </row>
    <row r="204" spans="1:50">
      <c r="A204" s="55" t="str">
        <f>$D$1&amp;194</f>
        <v>SD194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18</v>
      </c>
      <c r="G205" s="15"/>
      <c r="H205" s="41">
        <f t="shared" si="92"/>
        <v>18</v>
      </c>
      <c r="I205" s="73">
        <f>IF(H205="","",IF($I$8="A",(RANK(H205,H$11:H$333,1)+COUNTIF(H$11:H205,H205)-1),(RANK(H205,H$11:H$333)+COUNTIF(H$11:H205,H205)-1)))</f>
        <v>70</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18</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24</v>
      </c>
      <c r="G206" s="15"/>
      <c r="H206" s="41">
        <f t="shared" si="92"/>
        <v>24</v>
      </c>
      <c r="I206" s="73">
        <f>IF(H206="","",IF($I$8="A",(RANK(H206,H$11:H$333,1)+COUNTIF(H$11:H206,H206)-1),(RANK(H206,H$11:H$333)+COUNTIF(H$11:H206,H206)-1)))</f>
        <v>125</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24</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21</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21</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23</v>
      </c>
      <c r="G208" s="15"/>
      <c r="H208" s="41">
        <f t="shared" si="92"/>
        <v>23</v>
      </c>
      <c r="I208" s="73">
        <f>IF(H208="","",IF($I$8="A",(RANK(H208,H$11:H$333,1)+COUNTIF(H$11:H208,H208)-1),(RANK(H208,H$11:H$333)+COUNTIF(H$11:H208,H208)-1)))</f>
        <v>115</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23</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7</v>
      </c>
      <c r="G210" s="15"/>
      <c r="H210" s="41">
        <f t="shared" si="92"/>
        <v>7</v>
      </c>
      <c r="I210" s="73">
        <f>IF(H210="","",IF($I$8="A",(RANK(H210,H$11:H$333,1)+COUNTIF(H$11:H210,H210)-1),(RANK(H210,H$11:H$333)+COUNTIF(H$11:H210,H210)-1)))</f>
        <v>3</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7</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21</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21</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26</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26</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23</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23</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27</v>
      </c>
      <c r="G214" s="15"/>
      <c r="H214" s="41">
        <f t="shared" si="92"/>
        <v>27</v>
      </c>
      <c r="I214" s="73">
        <f>IF(H214="","",IF($I$8="A",(RANK(H214,H$11:H$333,1)+COUNTIF(H$11:H214,H214)-1),(RANK(H214,H$11:H$333)+COUNTIF(H$11:H214,H214)-1)))</f>
        <v>144</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27</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27</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27</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26</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26</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7</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7</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23</v>
      </c>
      <c r="G218" s="15"/>
      <c r="H218" s="41">
        <f t="shared" si="92"/>
        <v>23</v>
      </c>
      <c r="I218" s="73">
        <f>IF(H218="","",IF($I$8="A",(RANK(H218,H$11:H$333,1)+COUNTIF(H$11:H218,H218)-1),(RANK(H218,H$11:H$333)+COUNTIF(H$11:H218,H218)-1)))</f>
        <v>116</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23</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24</v>
      </c>
      <c r="G219" s="15"/>
      <c r="H219" s="41">
        <f t="shared" si="92"/>
        <v>24</v>
      </c>
      <c r="I219" s="73">
        <f>IF(H219="","",IF($I$8="A",(RANK(H219,H$11:H$333,1)+COUNTIF(H$11:H219,H219)-1),(RANK(H219,H$11:H$333)+COUNTIF(H$11:H219,H219)-1)))</f>
        <v>126</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24</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14</v>
      </c>
      <c r="G220" s="15"/>
      <c r="H220" s="41">
        <f t="shared" si="92"/>
        <v>14</v>
      </c>
      <c r="I220" s="73">
        <f>IF(H220="","",IF($I$8="A",(RANK(H220,H$11:H$333,1)+COUNTIF(H$11:H220,H220)-1),(RANK(H220,H$11:H$333)+COUNTIF(H$11:H220,H220)-1)))</f>
        <v>35</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14</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21</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21</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24</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24</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12</v>
      </c>
      <c r="G223" s="15"/>
      <c r="H223" s="41">
        <f t="shared" si="92"/>
        <v>12</v>
      </c>
      <c r="I223" s="73">
        <f>IF(H223="","",IF($I$8="A",(RANK(H223,H$11:H$333,1)+COUNTIF(H$11:H223,H223)-1),(RANK(H223,H$11:H$333)+COUNTIF(H$11:H223,H223)-1)))</f>
        <v>20</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12</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16</v>
      </c>
      <c r="G224" s="15"/>
      <c r="H224" s="41">
        <f t="shared" si="92"/>
        <v>16</v>
      </c>
      <c r="I224" s="73">
        <f>IF(H224="","",IF($I$8="A",(RANK(H224,H$11:H$333,1)+COUNTIF(H$11:H224,H224)-1),(RANK(H224,H$11:H$333)+COUNTIF(H$11:H224,H224)-1)))</f>
        <v>49</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16</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22</v>
      </c>
      <c r="G225" s="15"/>
      <c r="H225" s="41">
        <f t="shared" si="92"/>
        <v>22</v>
      </c>
      <c r="I225" s="73">
        <f>IF(H225="","",IF($I$8="A",(RANK(H225,H$11:H$333,1)+COUNTIF(H$11:H225,H225)-1),(RANK(H225,H$11:H$333)+COUNTIF(H$11:H225,H225)-1)))</f>
        <v>107</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22</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19</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19</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17</v>
      </c>
      <c r="G227" s="15"/>
      <c r="H227" s="41">
        <f t="shared" si="92"/>
        <v>17</v>
      </c>
      <c r="I227" s="73">
        <f>IF(H227="","",IF($I$8="A",(RANK(H227,H$11:H$333,1)+COUNTIF(H$11:H227,H227)-1),(RANK(H227,H$11:H$333)+COUNTIF(H$11:H227,H227)-1)))</f>
        <v>58</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17</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21</v>
      </c>
      <c r="G228" s="15"/>
      <c r="H228" s="41">
        <f t="shared" si="92"/>
        <v>21</v>
      </c>
      <c r="I228" s="73">
        <f>IF(H228="","",IF($I$8="A",(RANK(H228,H$11:H$333,1)+COUNTIF(H$11:H228,H228)-1),(RANK(H228,H$11:H$333)+COUNTIF(H$11:H228,H228)-1)))</f>
        <v>96</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21</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v>
      </c>
      <c r="G229" s="15"/>
      <c r="H229" s="41">
        <f t="shared" si="92"/>
        <v>9</v>
      </c>
      <c r="I229" s="73">
        <f>IF(H229="","",IF($I$8="A",(RANK(H229,H$11:H$333,1)+COUNTIF(H$11:H229,H229)-1),(RANK(H229,H$11:H$333)+COUNTIF(H$11:H229,H229)-1)))</f>
        <v>9</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4</v>
      </c>
      <c r="G230" s="15"/>
      <c r="H230" s="41">
        <f t="shared" si="92"/>
        <v>4</v>
      </c>
      <c r="I230" s="73">
        <f>IF(H230="","",IF($I$8="A",(RANK(H230,H$11:H$333,1)+COUNTIF(H$11:H230,H230)-1),(RANK(H230,H$11:H$333)+COUNTIF(H$11:H230,H230)-1)))</f>
        <v>1</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4</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23</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23</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26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26</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20</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20</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41</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41</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23</v>
      </c>
      <c r="G235" s="15"/>
      <c r="H235" s="41">
        <f t="shared" si="92"/>
        <v>23</v>
      </c>
      <c r="I235" s="73">
        <f>IF(H235="","",IF($I$8="A",(RANK(H235,H$11:H$333,1)+COUNTIF(H$11:H235,H235)-1),(RANK(H235,H$11:H$333)+COUNTIF(H$11:H235,H235)-1)))</f>
        <v>117</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23</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33</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33</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24</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24</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59</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59</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29</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29</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21.650294695481335</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21.650294695481335</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14</v>
      </c>
      <c r="G241" s="15"/>
      <c r="H241" s="41">
        <f t="shared" si="92"/>
        <v>14</v>
      </c>
      <c r="I241" s="73">
        <f>IF(H241="","",IF($I$8="A",(RANK(H241,H$11:H$333,1)+COUNTIF(H$11:H241,H241)-1),(RANK(H241,H$11:H$333)+COUNTIF(H$11:H241,H241)-1)))</f>
        <v>36</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14</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23</v>
      </c>
      <c r="G242" s="15"/>
      <c r="H242" s="41">
        <f t="shared" si="92"/>
        <v>23</v>
      </c>
      <c r="I242" s="73">
        <f>IF(H242="","",IF($I$8="A",(RANK(H242,H$11:H$333,1)+COUNTIF(H$11:H242,H242)-1),(RANK(H242,H$11:H$333)+COUNTIF(H$11:H242,H242)-1)))</f>
        <v>118</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23</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19</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19</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14</v>
      </c>
      <c r="G244" s="15"/>
      <c r="H244" s="41">
        <f t="shared" si="92"/>
        <v>14</v>
      </c>
      <c r="I244" s="73">
        <f>IF(H244="","",IF($I$8="A",(RANK(H244,H$11:H$333,1)+COUNTIF(H$11:H244,H244)-1),(RANK(H244,H$11:H$333)+COUNTIF(H$11:H244,H244)-1)))</f>
        <v>37</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14</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34</v>
      </c>
      <c r="G245" s="15"/>
      <c r="H245" s="41">
        <f t="shared" si="92"/>
        <v>34</v>
      </c>
      <c r="I245" s="73">
        <f>IF(H245="","",IF($I$8="A",(RANK(H245,H$11:H$333,1)+COUNTIF(H$11:H245,H245)-1),(RANK(H245,H$11:H$333)+COUNTIF(H$11:H245,H245)-1)))</f>
        <v>158</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34</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12</v>
      </c>
      <c r="G246" s="15"/>
      <c r="H246" s="41">
        <f t="shared" si="92"/>
        <v>12</v>
      </c>
      <c r="I246" s="73">
        <f>IF(H246="","",IF($I$8="A",(RANK(H246,H$11:H$333,1)+COUNTIF(H$11:H246,H246)-1),(RANK(H246,H$11:H$333)+COUNTIF(H$11:H246,H246)-1)))</f>
        <v>21</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12</v>
      </c>
    </row>
    <row r="247" spans="1:50">
      <c r="A247" s="55" t="str">
        <f>$D$1&amp;237</f>
        <v>SD237</v>
      </c>
      <c r="B247" s="56">
        <f>IF(ISERROR(VLOOKUP(A247,classifications!A:C,3,FALSE)),0,VLOOKUP(A247,classifications!A:C,3,FALSE))</f>
        <v>0</v>
      </c>
      <c r="C247" t="s">
        <v>144</v>
      </c>
      <c r="D247" t="str">
        <f>VLOOKUP($C247,classifications!$C:$J,4,FALSE)</f>
        <v>SD</v>
      </c>
      <c r="E247" t="str">
        <f>VLOOKUP(C247,classifications!C:K,9,FALSE)</f>
        <v>Sparse</v>
      </c>
      <c r="F247">
        <f t="shared" si="91"/>
        <v>11</v>
      </c>
      <c r="G247" s="15"/>
      <c r="H247" s="41">
        <f t="shared" si="92"/>
        <v>11</v>
      </c>
      <c r="I247" s="73">
        <f>IF(H247="","",IF($I$8="A",(RANK(H247,H$11:H$333,1)+COUNTIF(H$11:H247,H247)-1),(RANK(H247,H$11:H$333)+COUNTIF(H$11:H247,H247)-1)))</f>
        <v>16</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11</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16</v>
      </c>
      <c r="G248" s="15"/>
      <c r="H248" s="41">
        <f t="shared" si="92"/>
        <v>16</v>
      </c>
      <c r="I248" s="73">
        <f>IF(H248="","",IF($I$8="A",(RANK(H248,H$11:H$333,1)+COUNTIF(H$11:H248,H248)-1),(RANK(H248,H$11:H$333)+COUNTIF(H$11:H248,H248)-1)))</f>
        <v>50</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16</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25</v>
      </c>
      <c r="G249" s="15"/>
      <c r="H249" s="41">
        <f t="shared" si="92"/>
        <v>25</v>
      </c>
      <c r="I249" s="73">
        <f>IF(H249="","",IF($I$8="A",(RANK(H249,H$11:H$333,1)+COUNTIF(H$11:H249,H249)-1),(RANK(H249,H$11:H$333)+COUNTIF(H$11:H249,H249)-1)))</f>
        <v>134</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25</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18</v>
      </c>
      <c r="G250" s="15"/>
      <c r="H250" s="41">
        <f t="shared" si="92"/>
        <v>18</v>
      </c>
      <c r="I250" s="73">
        <f>IF(H250="","",IF($I$8="A",(RANK(H250,H$11:H$333,1)+COUNTIF(H$11:H250,H250)-1),(RANK(H250,H$11:H$333)+COUNTIF(H$11:H250,H250)-1)))</f>
        <v>71</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18</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26</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26</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21</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21</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27</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27</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19</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19</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21</v>
      </c>
      <c r="G255" s="15"/>
      <c r="H255" s="41">
        <f t="shared" si="92"/>
        <v>21</v>
      </c>
      <c r="I255" s="73">
        <f>IF(H255="","",IF($I$8="A",(RANK(H255,H$11:H$333,1)+COUNTIF(H$11:H255,H255)-1),(RANK(H255,H$11:H$333)+COUNTIF(H$11:H255,H255)-1)))</f>
        <v>97</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21</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11</v>
      </c>
      <c r="G256" s="15"/>
      <c r="H256" s="41">
        <f t="shared" si="92"/>
        <v>11</v>
      </c>
      <c r="I256" s="73">
        <f>IF(H256="","",IF($I$8="A",(RANK(H256,H$11:H$333,1)+COUNTIF(H$11:H256,H256)-1),(RANK(H256,H$11:H$333)+COUNTIF(H$11:H256,H256)-1)))</f>
        <v>17</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17</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17</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40</v>
      </c>
      <c r="G258" s="15"/>
      <c r="H258" s="41">
        <f t="shared" si="92"/>
        <v>40</v>
      </c>
      <c r="I258" s="73">
        <f>IF(H258="","",IF($I$8="A",(RANK(H258,H$11:H$333,1)+COUNTIF(H$11:H258,H258)-1),(RANK(H258,H$11:H$333)+COUNTIF(H$11:H258,H258)-1)))</f>
        <v>161</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40</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14</v>
      </c>
      <c r="G260" s="15"/>
      <c r="H260" s="41">
        <f t="shared" si="92"/>
        <v>14</v>
      </c>
      <c r="I260" s="73">
        <f>IF(H260="","",IF($I$8="A",(RANK(H260,H$11:H$333,1)+COUNTIF(H$11:H260,H260)-1),(RANK(H260,H$11:H$333)+COUNTIF(H$11:H260,H260)-1)))</f>
        <v>38</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14</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19</v>
      </c>
      <c r="G261" s="15"/>
      <c r="H261" s="41">
        <f t="shared" si="92"/>
        <v>19</v>
      </c>
      <c r="I261" s="73">
        <f>IF(H261="","",IF($I$8="A",(RANK(H261,H$11:H$333,1)+COUNTIF(H$11:H261,H261)-1),(RANK(H261,H$11:H$333)+COUNTIF(H$11:H261,H261)-1)))</f>
        <v>80</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19</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11</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11</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18</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18</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17</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17</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32</v>
      </c>
      <c r="G265" s="15"/>
      <c r="H265" s="41">
        <f t="shared" si="92"/>
        <v>32</v>
      </c>
      <c r="I265" s="73">
        <f>IF(H265="","",IF($I$8="A",(RANK(H265,H$11:H$333,1)+COUNTIF(H$11:H265,H265)-1),(RANK(H265,H$11:H$333)+COUNTIF(H$11:H265,H265)-1)))</f>
        <v>156</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32</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13</v>
      </c>
      <c r="G266" s="15"/>
      <c r="H266" s="41">
        <f t="shared" si="92"/>
        <v>13</v>
      </c>
      <c r="I266" s="73">
        <f>IF(H266="","",IF($I$8="A",(RANK(H266,H$11:H$333,1)+COUNTIF(H$11:H266,H266)-1),(RANK(H266,H$11:H$333)+COUNTIF(H$11:H266,H266)-1)))</f>
        <v>27</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13</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20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20</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24</v>
      </c>
      <c r="G270" s="15"/>
      <c r="H270" s="41">
        <f t="shared" si="116"/>
        <v>24</v>
      </c>
      <c r="I270" s="73">
        <f>IF(H270="","",IF($I$8="A",(RANK(H270,H$11:H$333,1)+COUNTIF(H$11:H270,H270)-1),(RANK(H270,H$11:H$333)+COUNTIF(H$11:H270,H270)-1)))</f>
        <v>127</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24</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15</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15</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24</v>
      </c>
      <c r="G272" s="15"/>
      <c r="H272" s="41">
        <f t="shared" si="116"/>
        <v>24</v>
      </c>
      <c r="I272" s="73">
        <f>IF(H272="","",IF($I$8="A",(RANK(H272,H$11:H$333,1)+COUNTIF(H$11:H272,H272)-1),(RANK(H272,H$11:H$333)+COUNTIF(H$11:H272,H272)-1)))</f>
        <v>128</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24</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22</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22</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19</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19</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20</v>
      </c>
      <c r="G275" s="15"/>
      <c r="H275" s="41">
        <f t="shared" si="116"/>
        <v>20</v>
      </c>
      <c r="I275" s="73">
        <f>IF(H275="","",IF($I$8="A",(RANK(H275,H$11:H$333,1)+COUNTIF(H$11:H275,H275)-1),(RANK(H275,H$11:H$333)+COUNTIF(H$11:H275,H275)-1)))</f>
        <v>90</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20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25</v>
      </c>
      <c r="G276" s="15"/>
      <c r="H276" s="41">
        <f t="shared" si="116"/>
        <v>25</v>
      </c>
      <c r="I276" s="73">
        <f>IF(H276="","",IF($I$8="A",(RANK(H276,H$11:H$333,1)+COUNTIF(H$11:H276,H276)-1),(RANK(H276,H$11:H$333)+COUNTIF(H$11:H276,H276)-1)))</f>
        <v>135</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25</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13</v>
      </c>
      <c r="G277" s="15"/>
      <c r="H277" s="41">
        <f t="shared" si="116"/>
        <v>13</v>
      </c>
      <c r="I277" s="73">
        <f>IF(H277="","",IF($I$8="A",(RANK(H277,H$11:H$333,1)+COUNTIF(H$11:H277,H277)-1),(RANK(H277,H$11:H$333)+COUNTIF(H$11:H277,H277)-1)))</f>
        <v>28</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13</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15</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15</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15</v>
      </c>
      <c r="G279" s="15"/>
      <c r="H279" s="41">
        <f t="shared" si="116"/>
        <v>15</v>
      </c>
      <c r="I279" s="73">
        <f>IF(H279="","",IF($I$8="A",(RANK(H279,H$11:H$333,1)+COUNTIF(H$11:H279,H279)-1),(RANK(H279,H$11:H$333)+COUNTIF(H$11:H279,H279)-1)))</f>
        <v>42</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15</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31</v>
      </c>
      <c r="G280" s="15"/>
      <c r="H280" s="41">
        <f t="shared" si="116"/>
        <v>31</v>
      </c>
      <c r="I280" s="73">
        <f>IF(H280="","",IF($I$8="A",(RANK(H280,H$11:H$333,1)+COUNTIF(H$11:H280,H280)-1),(RANK(H280,H$11:H$333)+COUNTIF(H$11:H280,H280)-1)))</f>
        <v>154</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31</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11</v>
      </c>
      <c r="G281" s="15"/>
      <c r="H281" s="41">
        <f t="shared" si="116"/>
        <v>11</v>
      </c>
      <c r="I281" s="73">
        <f>IF(H281="","",IF($I$8="A",(RANK(H281,H$11:H$333,1)+COUNTIF(H$11:H281,H281)-1),(RANK(H281,H$11:H$333)+COUNTIF(H$11:H281,H281)-1)))</f>
        <v>18</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11</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19</v>
      </c>
      <c r="G282" s="15"/>
      <c r="H282" s="41">
        <f t="shared" si="116"/>
        <v>19</v>
      </c>
      <c r="I282" s="73">
        <f>IF(H282="","",IF($I$8="A",(RANK(H282,H$11:H$333,1)+COUNTIF(H$11:H282,H282)-1),(RANK(H282,H$11:H$333)+COUNTIF(H$11:H282,H282)-1)))</f>
        <v>81</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19</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6</v>
      </c>
      <c r="G283" s="15"/>
      <c r="H283" s="41">
        <f t="shared" si="116"/>
        <v>6</v>
      </c>
      <c r="I283" s="73">
        <f>IF(H283="","",IF($I$8="A",(RANK(H283,H$11:H$333,1)+COUNTIF(H$11:H283,H283)-1),(RANK(H283,H$11:H$333)+COUNTIF(H$11:H283,H283)-1)))</f>
        <v>2</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6</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11</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11</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17</v>
      </c>
      <c r="G285" s="15"/>
      <c r="H285" s="41">
        <f t="shared" si="116"/>
        <v>17</v>
      </c>
      <c r="I285" s="73">
        <f>IF(H285="","",IF($I$8="A",(RANK(H285,H$11:H$333,1)+COUNTIF(H$11:H285,H285)-1),(RANK(H285,H$11:H$333)+COUNTIF(H$11:H285,H285)-1)))</f>
        <v>59</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17</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31</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31</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23</v>
      </c>
      <c r="G287" s="15"/>
      <c r="H287" s="41">
        <f t="shared" si="116"/>
        <v>23</v>
      </c>
      <c r="I287" s="73">
        <f>IF(H287="","",IF($I$8="A",(RANK(H287,H$11:H$333,1)+COUNTIF(H$11:H287,H287)-1),(RANK(H287,H$11:H$333)+COUNTIF(H$11:H287,H287)-1)))</f>
        <v>119</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23</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42</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42</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21</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21</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16</v>
      </c>
      <c r="G290" s="15"/>
      <c r="H290" s="41">
        <f t="shared" si="116"/>
        <v>16</v>
      </c>
      <c r="I290" s="73">
        <f>IF(H290="","",IF($I$8="A",(RANK(H290,H$11:H$333,1)+COUNTIF(H$11:H290,H290)-1),(RANK(H290,H$11:H$333)+COUNTIF(H$11:H290,H290)-1)))</f>
        <v>51</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16</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18</v>
      </c>
      <c r="G291" s="15"/>
      <c r="H291" s="41">
        <f t="shared" si="116"/>
        <v>18</v>
      </c>
      <c r="I291" s="73">
        <f>IF(H291="","",IF($I$8="A",(RANK(H291,H$11:H$333,1)+COUNTIF(H$11:H291,H291)-1),(RANK(H291,H$11:H$333)+COUNTIF(H$11:H291,H291)-1)))</f>
        <v>72</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18</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15</v>
      </c>
      <c r="G292" s="15"/>
      <c r="H292" s="41">
        <f t="shared" si="116"/>
        <v>15</v>
      </c>
      <c r="I292" s="73">
        <f>IF(H292="","",IF($I$8="A",(RANK(H292,H$11:H$333,1)+COUNTIF(H$11:H292,H292)-1),(RANK(H292,H$11:H$333)+COUNTIF(H$11:H292,H292)-1)))</f>
        <v>43</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15</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21</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21</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16</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16</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15</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15</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23</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23</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24</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24</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23</v>
      </c>
      <c r="G298" s="15"/>
      <c r="H298" s="41">
        <f t="shared" si="116"/>
        <v>23</v>
      </c>
      <c r="I298" s="73">
        <f>IF(H298="","",IF($I$8="A",(RANK(H298,H$11:H$333,1)+COUNTIF(H$11:H298,H298)-1),(RANK(H298,H$11:H$333)+COUNTIF(H$11:H298,H298)-1)))</f>
        <v>120</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23</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8</v>
      </c>
      <c r="G300" s="15"/>
      <c r="H300" s="41">
        <f t="shared" si="116"/>
        <v>8</v>
      </c>
      <c r="I300" s="73">
        <f>IF(H300="","",IF($I$8="A",(RANK(H300,H$11:H$333,1)+COUNTIF(H$11:H300,H300)-1),(RANK(H300,H$11:H$333)+COUNTIF(H$11:H300,H300)-1)))</f>
        <v>7</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8</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17</v>
      </c>
      <c r="G301" s="15"/>
      <c r="H301" s="41">
        <f t="shared" si="116"/>
        <v>17</v>
      </c>
      <c r="I301" s="73">
        <f>IF(H301="","",IF($I$8="A",(RANK(H301,H$11:H$333,1)+COUNTIF(H$11:H301,H301)-1),(RANK(H301,H$11:H$333)+COUNTIF(H$11:H301,H301)-1)))</f>
        <v>60</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17</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21</v>
      </c>
      <c r="G302" s="15"/>
      <c r="H302" s="41">
        <f t="shared" si="116"/>
        <v>21</v>
      </c>
      <c r="I302" s="73">
        <f>IF(H302="","",IF($I$8="A",(RANK(H302,H$11:H$333,1)+COUNTIF(H$11:H302,H302)-1),(RANK(H302,H$11:H$333)+COUNTIF(H$11:H302,H302)-1)))</f>
        <v>98</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21</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9</v>
      </c>
      <c r="G303" s="15"/>
      <c r="H303" s="41">
        <f t="shared" si="116"/>
        <v>9</v>
      </c>
      <c r="I303" s="73">
        <f>IF(H303="","",IF($I$8="A",(RANK(H303,H$11:H$333,1)+COUNTIF(H$11:H303,H303)-1),(RANK(H303,H$11:H$333)+COUNTIF(H$11:H303,H303)-1)))</f>
        <v>10</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23</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23</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13</v>
      </c>
      <c r="G305" s="15"/>
      <c r="H305" s="41">
        <f t="shared" si="116"/>
        <v>13</v>
      </c>
      <c r="I305" s="73">
        <f>IF(H305="","",IF($I$8="A",(RANK(H305,H$11:H$333,1)+COUNTIF(H$11:H305,H305)-1),(RANK(H305,H$11:H$333)+COUNTIF(H$11:H305,H305)-1)))</f>
        <v>29</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13</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23</v>
      </c>
      <c r="G306" s="15"/>
      <c r="H306" s="41">
        <f t="shared" si="116"/>
        <v>23</v>
      </c>
      <c r="I306" s="73">
        <f>IF(H306="","",IF($I$8="A",(RANK(H306,H$11:H$333,1)+COUNTIF(H$11:H306,H306)-1),(RANK(H306,H$11:H$333)+COUNTIF(H$11:H306,H306)-1)))</f>
        <v>121</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23</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16</v>
      </c>
      <c r="G307" s="15"/>
      <c r="H307" s="41">
        <f t="shared" si="116"/>
        <v>16</v>
      </c>
      <c r="I307" s="73">
        <f>IF(H307="","",IF($I$8="A",(RANK(H307,H$11:H$333,1)+COUNTIF(H$11:H307,H307)-1),(RANK(H307,H$11:H$333)+COUNTIF(H$11:H307,H307)-1)))</f>
        <v>52</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16</v>
      </c>
    </row>
    <row r="308" spans="1:50">
      <c r="A308" s="55" t="str">
        <f>$D$1&amp;298</f>
        <v>SD298</v>
      </c>
      <c r="B308" s="56">
        <f>IF(ISERROR(VLOOKUP(A308,classifications!A:C,3,FALSE)),0,VLOOKUP(A308,classifications!A:C,3,FALSE))</f>
        <v>0</v>
      </c>
      <c r="C308" t="s">
        <v>895</v>
      </c>
      <c r="D308" t="str">
        <f>VLOOKUP($C308,classifications!$C:$J,4,FALSE)</f>
        <v>UA</v>
      </c>
      <c r="E308" t="str">
        <f>VLOOKUP(C308,classifications!C:K,9,FALSE)</f>
        <v>Sparse</v>
      </c>
      <c r="F308">
        <f t="shared" si="115"/>
        <v>56</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56</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25</v>
      </c>
      <c r="G309" s="15"/>
      <c r="H309" s="41">
        <f t="shared" si="116"/>
        <v>25</v>
      </c>
      <c r="I309" s="73">
        <f>IF(H309="","",IF($I$8="A",(RANK(H309,H$11:H$333,1)+COUNTIF(H$11:H309,H309)-1),(RANK(H309,H$11:H$333)+COUNTIF(H$11:H309,H309)-1)))</f>
        <v>136</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25</v>
      </c>
    </row>
    <row r="310" spans="1:50">
      <c r="A310" s="55" t="str">
        <f>$D$1&amp;300</f>
        <v>SD300</v>
      </c>
      <c r="B310" s="56">
        <f>IF(ISERROR(VLOOKUP(A310,classifications!A:C,3,FALSE)),0,VLOOKUP(A310,classifications!A:C,3,FALSE))</f>
        <v>0</v>
      </c>
      <c r="C310" t="s">
        <v>892</v>
      </c>
      <c r="D310" t="str">
        <f>VLOOKUP($C310,classifications!$C:$J,4,FALSE)</f>
        <v>SD</v>
      </c>
      <c r="E310" t="str">
        <f>VLOOKUP(C310,classifications!C:K,9,FALSE)</f>
        <v>Sparse</v>
      </c>
      <c r="F310">
        <f t="shared" si="115"/>
        <v>24</v>
      </c>
      <c r="G310" s="15"/>
      <c r="H310" s="41">
        <f t="shared" si="116"/>
        <v>24</v>
      </c>
      <c r="I310" s="73">
        <f>IF(H310="","",IF($I$8="A",(RANK(H310,H$11:H$333,1)+COUNTIF(H$11:H310,H310)-1),(RANK(H310,H$11:H$333)+COUNTIF(H$11:H310,H310)-1)))</f>
        <v>129</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24</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23</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23</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11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11</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21</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21</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25</v>
      </c>
      <c r="G315" s="15"/>
      <c r="H315" s="41">
        <f t="shared" si="116"/>
        <v>25</v>
      </c>
      <c r="I315" s="73">
        <f>IF(H315="","",IF($I$8="A",(RANK(H315,H$11:H$333,1)+COUNTIF(H$11:H315,H315)-1),(RANK(H315,H$11:H$333)+COUNTIF(H$11:H315,H315)-1)))</f>
        <v>137</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25</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16</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16</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42</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42</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17</v>
      </c>
      <c r="G318" s="15"/>
      <c r="H318" s="41">
        <f t="shared" si="116"/>
        <v>17</v>
      </c>
      <c r="I318" s="73">
        <f>IF(H318="","",IF($I$8="A",(RANK(H318,H$11:H$333,1)+COUNTIF(H$11:H318,H318)-1),(RANK(H318,H$11:H$333)+COUNTIF(H$11:H318,H318)-1)))</f>
        <v>61</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17</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15</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15</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28</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28</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22</v>
      </c>
      <c r="G321" s="15"/>
      <c r="H321" s="41">
        <f t="shared" si="116"/>
        <v>22</v>
      </c>
      <c r="I321" s="73">
        <f>IF(H321="","",IF($I$8="A",(RANK(H321,H$11:H$333,1)+COUNTIF(H$11:H321,H321)-1),(RANK(H321,H$11:H$333)+COUNTIF(H$11:H321,H321)-1)))</f>
        <v>108</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22</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24</v>
      </c>
      <c r="G323" s="15"/>
      <c r="H323" s="41">
        <f t="shared" si="116"/>
        <v>24</v>
      </c>
      <c r="I323" s="73">
        <f>IF(H323="","",IF($I$8="A",(RANK(H323,H$11:H$333,1)+COUNTIF(H$11:H323,H323)-1),(RANK(H323,H$11:H$333)+COUNTIF(H$11:H323,H323)-1)))</f>
        <v>130</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24</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19</v>
      </c>
      <c r="G324" s="15"/>
      <c r="H324" s="41">
        <f t="shared" si="116"/>
        <v>19</v>
      </c>
      <c r="I324" s="73">
        <f>IF(H324="","",IF($I$8="A",(RANK(H324,H$11:H$333,1)+COUNTIF(H$11:H324,H324)-1),(RANK(H324,H$11:H$333)+COUNTIF(H$11:H324,H324)-1)))</f>
        <v>82</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19</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23</v>
      </c>
      <c r="G325" s="15"/>
      <c r="H325" s="41">
        <f t="shared" si="116"/>
        <v>23</v>
      </c>
      <c r="I325" s="73">
        <f>IF(H325="","",IF($I$8="A",(RANK(H325,H$11:H$333,1)+COUNTIF(H$11:H325,H325)-1),(RANK(H325,H$11:H$333)+COUNTIF(H$11:H325,H325)-1)))</f>
        <v>122</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23</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22</v>
      </c>
      <c r="G326" s="15"/>
      <c r="H326" s="41">
        <f t="shared" si="116"/>
        <v>22</v>
      </c>
      <c r="I326" s="73">
        <f>IF(H326="","",IF($I$8="A",(RANK(H326,H$11:H$333,1)+COUNTIF(H$11:H326,H326)-1),(RANK(H326,H$11:H$333)+COUNTIF(H$11:H326,H326)-1)))</f>
        <v>109</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22</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17</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17</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topLeftCell="B1" workbookViewId="0">
      <selection activeCell="F2" sqref="F2: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1" t="s">
        <v>900</v>
      </c>
      <c r="B2" t="s">
        <v>822</v>
      </c>
      <c r="C2" t="s">
        <v>822</v>
      </c>
      <c r="D2" t="s">
        <v>899</v>
      </c>
      <c r="F2" t="s">
        <v>902</v>
      </c>
    </row>
    <row r="3" spans="1:6" ht="14.4">
      <c r="A3" s="231" t="s">
        <v>901</v>
      </c>
      <c r="B3" t="s">
        <v>822</v>
      </c>
      <c r="C3" t="s">
        <v>822</v>
      </c>
      <c r="D3" t="s">
        <v>899</v>
      </c>
      <c r="F3" t="s">
        <v>903</v>
      </c>
    </row>
    <row r="4" spans="1:6" ht="14.4">
      <c r="A4" s="231"/>
    </row>
    <row r="5" spans="1:6" ht="14.4">
      <c r="A5" s="198"/>
    </row>
    <row r="6" spans="1:6" ht="14.4">
      <c r="A6" s="198"/>
      <c r="F6" s="223"/>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B1" workbookViewId="0">
      <selection activeCell="E7" sqref="E7:F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Housing Benefit - New ClaimsQ1 2023/24</v>
      </c>
      <c r="D1" s="136" t="str">
        <f t="shared" ref="D1:BI1" si="0">D4&amp;D5</f>
        <v>Housing Benefit - Change of CircumstancesQ1 2023/24</v>
      </c>
      <c r="E1" s="136" t="str">
        <f t="shared" si="0"/>
        <v>Housing Benefit - New ClaimsQ2 2023/24</v>
      </c>
      <c r="F1" s="136" t="str">
        <f t="shared" si="0"/>
        <v>Housing Benefit - Change of CircumstancesQ2 2023/24</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2" t="s">
        <v>898</v>
      </c>
      <c r="D3" s="140"/>
      <c r="E3" s="140"/>
      <c r="F3" s="130"/>
      <c r="G3" s="115"/>
      <c r="H3" s="130"/>
      <c r="I3" s="143"/>
      <c r="J3" s="143"/>
      <c r="K3" s="143"/>
      <c r="L3" s="115"/>
      <c r="M3" s="115"/>
      <c r="N3" s="115"/>
      <c r="O3" s="143"/>
      <c r="P3" s="326"/>
      <c r="Q3" s="326"/>
      <c r="R3" s="130"/>
      <c r="S3" s="130"/>
    </row>
    <row r="4" spans="1:71" ht="60" customHeight="1">
      <c r="A4" s="324" t="s">
        <v>821</v>
      </c>
      <c r="B4" s="138" t="s">
        <v>801</v>
      </c>
      <c r="C4" s="233" t="s">
        <v>900</v>
      </c>
      <c r="D4" s="233" t="s">
        <v>901</v>
      </c>
      <c r="E4" s="233" t="s">
        <v>900</v>
      </c>
      <c r="F4" s="233" t="s">
        <v>901</v>
      </c>
      <c r="G4" s="231"/>
      <c r="H4" s="23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5"/>
      <c r="B5" s="139" t="s">
        <v>364</v>
      </c>
      <c r="C5" s="233" t="s">
        <v>902</v>
      </c>
      <c r="D5" s="233" t="s">
        <v>902</v>
      </c>
      <c r="E5" s="233" t="s">
        <v>903</v>
      </c>
      <c r="F5" s="233" t="s">
        <v>903</v>
      </c>
      <c r="G5"/>
      <c r="H5"/>
      <c r="I5"/>
      <c r="J5"/>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5"/>
      <c r="B6" s="139" t="s">
        <v>365</v>
      </c>
      <c r="C6" s="155" t="s">
        <v>885</v>
      </c>
      <c r="D6" s="155" t="s">
        <v>885</v>
      </c>
      <c r="E6" s="155" t="s">
        <v>885</v>
      </c>
      <c r="F6" s="155" t="s">
        <v>885</v>
      </c>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32</v>
      </c>
      <c r="D7">
        <v>5</v>
      </c>
      <c r="E7">
        <v>27</v>
      </c>
      <c r="F7">
        <v>5</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20</v>
      </c>
      <c r="D8">
        <v>7</v>
      </c>
      <c r="E8">
        <v>20</v>
      </c>
      <c r="F8">
        <v>7</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14</v>
      </c>
      <c r="D9">
        <v>3</v>
      </c>
      <c r="E9">
        <v>14</v>
      </c>
      <c r="F9">
        <v>3</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20</v>
      </c>
      <c r="D10">
        <v>8</v>
      </c>
      <c r="E10">
        <v>24</v>
      </c>
      <c r="F10">
        <v>8</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21</v>
      </c>
      <c r="D11">
        <v>2</v>
      </c>
      <c r="E11">
        <v>18</v>
      </c>
      <c r="F11">
        <v>2</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17</v>
      </c>
      <c r="D12">
        <v>4</v>
      </c>
      <c r="E12">
        <v>17</v>
      </c>
      <c r="F12">
        <v>4</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18</v>
      </c>
      <c r="D13">
        <v>9</v>
      </c>
      <c r="E13">
        <v>19</v>
      </c>
      <c r="F13">
        <v>10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21</v>
      </c>
      <c r="D14">
        <v>5</v>
      </c>
      <c r="E14">
        <v>17</v>
      </c>
      <c r="F14">
        <v>5</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17</v>
      </c>
      <c r="D15">
        <v>8</v>
      </c>
      <c r="E15">
        <v>11</v>
      </c>
      <c r="F15">
        <v>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15</v>
      </c>
      <c r="D16">
        <v>12</v>
      </c>
      <c r="E16">
        <v>17</v>
      </c>
      <c r="F16">
        <v>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14</v>
      </c>
      <c r="D17">
        <v>5</v>
      </c>
      <c r="E17">
        <v>16</v>
      </c>
      <c r="F17">
        <v>4</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31</v>
      </c>
      <c r="D18">
        <v>13</v>
      </c>
      <c r="E18">
        <v>32</v>
      </c>
      <c r="F18">
        <v>15</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20</v>
      </c>
      <c r="D19">
        <v>3</v>
      </c>
      <c r="E19">
        <v>22</v>
      </c>
      <c r="F19">
        <v>3</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16</v>
      </c>
      <c r="D20">
        <v>7</v>
      </c>
      <c r="E20">
        <v>16</v>
      </c>
      <c r="F20">
        <v>7</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13</v>
      </c>
      <c r="D21">
        <v>8</v>
      </c>
      <c r="E21">
        <v>13</v>
      </c>
      <c r="F21">
        <v>10</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16</v>
      </c>
      <c r="D22">
        <v>7</v>
      </c>
      <c r="E22">
        <v>13</v>
      </c>
      <c r="F22">
        <v>9</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25</v>
      </c>
      <c r="D23">
        <v>9</v>
      </c>
      <c r="E23">
        <v>22</v>
      </c>
      <c r="F23">
        <v>6</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v>
      </c>
      <c r="D24">
        <v>6</v>
      </c>
      <c r="E24">
        <v>12</v>
      </c>
      <c r="F24">
        <v>7</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23</v>
      </c>
      <c r="D25">
        <v>12</v>
      </c>
      <c r="E25">
        <v>30</v>
      </c>
      <c r="F25">
        <v>16</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20</v>
      </c>
      <c r="D26">
        <v>7</v>
      </c>
      <c r="E26">
        <v>18</v>
      </c>
      <c r="F26">
        <v>7</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25</v>
      </c>
      <c r="D27">
        <v>9</v>
      </c>
      <c r="E27">
        <v>23</v>
      </c>
      <c r="F27">
        <v>19</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22</v>
      </c>
      <c r="D28">
        <v>9</v>
      </c>
      <c r="E28">
        <v>16</v>
      </c>
      <c r="F28">
        <v>9</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893</v>
      </c>
      <c r="B29" s="134"/>
      <c r="C29">
        <v>19</v>
      </c>
      <c r="D29">
        <v>10</v>
      </c>
      <c r="E29">
        <v>16</v>
      </c>
      <c r="F29">
        <v>8</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15</v>
      </c>
      <c r="D30">
        <v>6</v>
      </c>
      <c r="E30">
        <v>13</v>
      </c>
      <c r="F30">
        <v>4</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17</v>
      </c>
      <c r="D31">
        <v>8</v>
      </c>
      <c r="E31">
        <v>12</v>
      </c>
      <c r="F31">
        <v>8</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21</v>
      </c>
      <c r="D32">
        <v>5</v>
      </c>
      <c r="E32">
        <v>15</v>
      </c>
      <c r="F32">
        <v>4</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27</v>
      </c>
      <c r="D33">
        <v>8</v>
      </c>
      <c r="E33">
        <v>26</v>
      </c>
      <c r="F33">
        <v>8</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19</v>
      </c>
      <c r="D34">
        <v>6</v>
      </c>
      <c r="E34">
        <v>19</v>
      </c>
      <c r="F34">
        <v>8</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17</v>
      </c>
      <c r="D35">
        <v>16</v>
      </c>
      <c r="E35">
        <v>16</v>
      </c>
      <c r="F35">
        <v>4</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21</v>
      </c>
      <c r="D36">
        <v>12</v>
      </c>
      <c r="E36">
        <v>22</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15</v>
      </c>
      <c r="D37">
        <v>11</v>
      </c>
      <c r="E37">
        <v>18</v>
      </c>
      <c r="F37">
        <v>18</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22</v>
      </c>
      <c r="D38">
        <v>8</v>
      </c>
      <c r="E38">
        <v>22</v>
      </c>
      <c r="F38">
        <v>6</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12</v>
      </c>
      <c r="D39">
        <v>10</v>
      </c>
      <c r="E39">
        <v>22</v>
      </c>
      <c r="F39">
        <v>18</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23</v>
      </c>
      <c r="D40">
        <v>11</v>
      </c>
      <c r="E40">
        <v>17</v>
      </c>
      <c r="F40">
        <v>7</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19</v>
      </c>
      <c r="D41">
        <v>9</v>
      </c>
      <c r="E41">
        <v>14</v>
      </c>
      <c r="F41">
        <v>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v>
      </c>
      <c r="D42">
        <v>6</v>
      </c>
      <c r="E42">
        <v>6</v>
      </c>
      <c r="F42">
        <v>4</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29</v>
      </c>
      <c r="D43">
        <v>10</v>
      </c>
      <c r="E43">
        <v>21</v>
      </c>
      <c r="F43">
        <v>9</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8</v>
      </c>
      <c r="D44">
        <v>4</v>
      </c>
      <c r="E44">
        <v>8</v>
      </c>
      <c r="F44">
        <v>3</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31</v>
      </c>
      <c r="D45">
        <v>8</v>
      </c>
      <c r="E45">
        <v>26</v>
      </c>
      <c r="F45">
        <v>9</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24</v>
      </c>
      <c r="D46">
        <v>11</v>
      </c>
      <c r="E46">
        <v>18</v>
      </c>
      <c r="F46">
        <v>10</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11</v>
      </c>
      <c r="D47">
        <v>3</v>
      </c>
      <c r="E47">
        <v>8</v>
      </c>
      <c r="F47">
        <v>3</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32</v>
      </c>
      <c r="D48">
        <v>17</v>
      </c>
      <c r="E48">
        <v>27</v>
      </c>
      <c r="F48">
        <v>7</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45</v>
      </c>
      <c r="D49">
        <v>18</v>
      </c>
      <c r="E49">
        <v>47</v>
      </c>
      <c r="F49">
        <v>18</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19</v>
      </c>
      <c r="D50">
        <v>9</v>
      </c>
      <c r="E50">
        <v>22</v>
      </c>
      <c r="F50">
        <v>9</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18</v>
      </c>
      <c r="D51">
        <v>5</v>
      </c>
      <c r="E51">
        <v>19</v>
      </c>
      <c r="F51">
        <v>5</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42</v>
      </c>
      <c r="D52">
        <v>12</v>
      </c>
      <c r="E52">
        <v>36</v>
      </c>
      <c r="F52">
        <v>17</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16</v>
      </c>
      <c r="D53">
        <v>12</v>
      </c>
      <c r="E53">
        <v>14</v>
      </c>
      <c r="F53">
        <v>9</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72</v>
      </c>
      <c r="D54">
        <v>18</v>
      </c>
      <c r="E54">
        <v>62</v>
      </c>
      <c r="F54">
        <v>26</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21</v>
      </c>
      <c r="D55">
        <v>9</v>
      </c>
      <c r="E55">
        <v>12</v>
      </c>
      <c r="F55">
        <v>5</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19</v>
      </c>
      <c r="D56">
        <v>6</v>
      </c>
      <c r="E56">
        <v>17</v>
      </c>
      <c r="F56">
        <v>4</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14</v>
      </c>
      <c r="D57">
        <v>4</v>
      </c>
      <c r="E57">
        <v>13</v>
      </c>
      <c r="F57">
        <v>4</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27</v>
      </c>
      <c r="D58">
        <v>16</v>
      </c>
      <c r="E58">
        <v>16</v>
      </c>
      <c r="F58">
        <v>15</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21</v>
      </c>
      <c r="D59">
        <v>10</v>
      </c>
      <c r="E59">
        <v>20</v>
      </c>
      <c r="F59">
        <v>9</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20</v>
      </c>
      <c r="D60">
        <v>8</v>
      </c>
      <c r="E60">
        <v>14</v>
      </c>
      <c r="F60">
        <v>13</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26</v>
      </c>
      <c r="D61">
        <v>6</v>
      </c>
      <c r="E61">
        <v>17</v>
      </c>
      <c r="F61">
        <v>4</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23</v>
      </c>
      <c r="D62">
        <v>2</v>
      </c>
      <c r="E62">
        <v>16</v>
      </c>
      <c r="F62">
        <v>4</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14</v>
      </c>
      <c r="D63">
        <v>2</v>
      </c>
      <c r="E63">
        <v>10</v>
      </c>
      <c r="F63">
        <v>2</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19</v>
      </c>
      <c r="D64">
        <v>7</v>
      </c>
      <c r="E64">
        <v>15</v>
      </c>
      <c r="F64">
        <v>6</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30</v>
      </c>
      <c r="D65">
        <v>12</v>
      </c>
      <c r="E65">
        <v>16</v>
      </c>
      <c r="F65">
        <v>7</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31</v>
      </c>
      <c r="D66">
        <v>10</v>
      </c>
      <c r="E66">
        <v>28</v>
      </c>
      <c r="F66">
        <v>11</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22</v>
      </c>
      <c r="D67">
        <v>9</v>
      </c>
      <c r="E67">
        <v>37</v>
      </c>
      <c r="F67">
        <v>11</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48</v>
      </c>
      <c r="D68">
        <v>7</v>
      </c>
      <c r="E68">
        <v>37</v>
      </c>
      <c r="F68">
        <v>8</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896</v>
      </c>
      <c r="B69" s="134"/>
      <c r="C69">
        <v>19.56088560885609</v>
      </c>
      <c r="D69">
        <v>9.6377733598409545</v>
      </c>
      <c r="E69">
        <v>17</v>
      </c>
      <c r="F69">
        <v>7</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27</v>
      </c>
      <c r="D70">
        <v>12</v>
      </c>
      <c r="E70">
        <v>22</v>
      </c>
      <c r="F70">
        <v>17</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25</v>
      </c>
      <c r="D71">
        <v>4</v>
      </c>
      <c r="E71">
        <v>19</v>
      </c>
      <c r="F71">
        <v>4</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29</v>
      </c>
      <c r="D72">
        <v>12</v>
      </c>
      <c r="E72">
        <v>24</v>
      </c>
      <c r="F72">
        <v>16</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29</v>
      </c>
      <c r="D73">
        <v>9</v>
      </c>
      <c r="E73">
        <v>24</v>
      </c>
      <c r="F73">
        <v>12</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11</v>
      </c>
      <c r="D74">
        <v>2</v>
      </c>
      <c r="E74">
        <v>13</v>
      </c>
      <c r="F74">
        <v>3</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12</v>
      </c>
      <c r="D75">
        <v>13</v>
      </c>
      <c r="E75">
        <v>12</v>
      </c>
      <c r="F75">
        <v>7</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32</v>
      </c>
      <c r="D76">
        <v>9</v>
      </c>
      <c r="E76">
        <v>26</v>
      </c>
      <c r="F76">
        <v>8</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20</v>
      </c>
      <c r="D77">
        <v>9</v>
      </c>
      <c r="E77">
        <v>18</v>
      </c>
      <c r="F77">
        <v>8</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25</v>
      </c>
      <c r="D78">
        <v>9</v>
      </c>
      <c r="E78">
        <v>23</v>
      </c>
      <c r="F78">
        <v>12</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18</v>
      </c>
      <c r="D79">
        <v>12</v>
      </c>
      <c r="E79">
        <v>16</v>
      </c>
      <c r="F79">
        <v>9</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24</v>
      </c>
      <c r="D80">
        <v>6</v>
      </c>
      <c r="E80">
        <v>24</v>
      </c>
      <c r="F80">
        <v>8</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22</v>
      </c>
      <c r="D81">
        <v>10</v>
      </c>
      <c r="E81">
        <v>26</v>
      </c>
      <c r="F81">
        <v>8</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14</v>
      </c>
      <c r="D82">
        <v>5</v>
      </c>
      <c r="E82">
        <v>10</v>
      </c>
      <c r="F82">
        <v>5</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27</v>
      </c>
      <c r="D83">
        <v>8</v>
      </c>
      <c r="E83">
        <v>24</v>
      </c>
      <c r="F83">
        <v>10</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20</v>
      </c>
      <c r="D84">
        <v>6</v>
      </c>
      <c r="E84">
        <v>21</v>
      </c>
      <c r="F84">
        <v>6</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40</v>
      </c>
      <c r="D85">
        <v>19</v>
      </c>
      <c r="E85">
        <v>27</v>
      </c>
      <c r="F85">
        <v>14</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24</v>
      </c>
      <c r="D86">
        <v>9</v>
      </c>
      <c r="E86">
        <v>19</v>
      </c>
      <c r="F86">
        <v>13</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18</v>
      </c>
      <c r="D87">
        <v>3</v>
      </c>
      <c r="E87">
        <v>13</v>
      </c>
      <c r="F87">
        <v>3</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891</v>
      </c>
      <c r="B88" s="134"/>
      <c r="C88">
        <v>26</v>
      </c>
      <c r="D88">
        <v>8</v>
      </c>
      <c r="E88">
        <v>26</v>
      </c>
      <c r="F88">
        <v>9</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21</v>
      </c>
      <c r="D89">
        <v>12</v>
      </c>
      <c r="E89">
        <v>16</v>
      </c>
      <c r="F89">
        <v>8</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11</v>
      </c>
      <c r="D90">
        <v>6</v>
      </c>
      <c r="E90">
        <v>10</v>
      </c>
      <c r="F90">
        <v>7</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v>
      </c>
      <c r="D91">
        <v>4</v>
      </c>
      <c r="E91">
        <v>11</v>
      </c>
      <c r="F91">
        <v>3</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27</v>
      </c>
      <c r="D92">
        <v>7</v>
      </c>
      <c r="E92">
        <v>26</v>
      </c>
      <c r="F92">
        <v>6</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17</v>
      </c>
      <c r="D93">
        <v>7</v>
      </c>
      <c r="E93">
        <v>13</v>
      </c>
      <c r="F93">
        <v>6</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17</v>
      </c>
      <c r="D94">
        <v>5</v>
      </c>
      <c r="E94">
        <v>14</v>
      </c>
      <c r="F94">
        <v>5</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17</v>
      </c>
      <c r="D95">
        <v>4</v>
      </c>
      <c r="E95">
        <v>11</v>
      </c>
      <c r="F95">
        <v>12</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13</v>
      </c>
      <c r="D96">
        <v>8</v>
      </c>
      <c r="E96">
        <v>14</v>
      </c>
      <c r="F96">
        <v>9</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v>
      </c>
      <c r="D97">
        <v>3</v>
      </c>
      <c r="E97">
        <v>10</v>
      </c>
      <c r="F97">
        <v>2</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25</v>
      </c>
      <c r="D98">
        <v>9</v>
      </c>
      <c r="E98">
        <v>26</v>
      </c>
      <c r="F98">
        <v>11</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887</v>
      </c>
      <c r="B99" s="134"/>
      <c r="C99">
        <v>13</v>
      </c>
      <c r="D99">
        <v>5</v>
      </c>
      <c r="E99">
        <v>11</v>
      </c>
      <c r="F99">
        <v>4</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28</v>
      </c>
      <c r="D100">
        <v>12</v>
      </c>
      <c r="E100">
        <v>20</v>
      </c>
      <c r="F100">
        <v>7</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16</v>
      </c>
      <c r="D101">
        <v>7</v>
      </c>
      <c r="E101">
        <v>19</v>
      </c>
      <c r="F101">
        <v>10</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14</v>
      </c>
      <c r="D102">
        <v>13</v>
      </c>
      <c r="E102">
        <v>12</v>
      </c>
      <c r="F102">
        <v>11</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19</v>
      </c>
      <c r="D103">
        <v>8</v>
      </c>
      <c r="E103">
        <v>15</v>
      </c>
      <c r="F103">
        <v>4</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t="s">
        <v>879</v>
      </c>
      <c r="D104" t="s">
        <v>879</v>
      </c>
      <c r="E104">
        <v>23</v>
      </c>
      <c r="F104">
        <v>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16</v>
      </c>
      <c r="D105">
        <v>12</v>
      </c>
      <c r="E105">
        <v>14</v>
      </c>
      <c r="F105">
        <v>18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18</v>
      </c>
      <c r="D106">
        <v>4</v>
      </c>
      <c r="E106">
        <v>15</v>
      </c>
      <c r="F106">
        <v>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8" t="s">
        <v>76</v>
      </c>
      <c r="B107" s="229"/>
      <c r="C107">
        <v>14</v>
      </c>
      <c r="D107">
        <v>9</v>
      </c>
      <c r="E107">
        <v>16</v>
      </c>
      <c r="F107">
        <v>10</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22</v>
      </c>
      <c r="D108">
        <v>8</v>
      </c>
      <c r="E108">
        <v>21</v>
      </c>
      <c r="F108">
        <v>11</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19</v>
      </c>
      <c r="D109">
        <v>9</v>
      </c>
      <c r="E109">
        <v>16</v>
      </c>
      <c r="F109">
        <v>7</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11</v>
      </c>
      <c r="D110">
        <v>13</v>
      </c>
      <c r="E110">
        <v>11</v>
      </c>
      <c r="F110">
        <v>14</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30</v>
      </c>
      <c r="D111">
        <v>7</v>
      </c>
      <c r="E111">
        <v>25</v>
      </c>
      <c r="F111">
        <v>9</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v>
      </c>
      <c r="D112">
        <v>9</v>
      </c>
      <c r="E112">
        <v>23</v>
      </c>
      <c r="F112">
        <v>17</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24</v>
      </c>
      <c r="D113">
        <v>9</v>
      </c>
      <c r="E113">
        <v>19</v>
      </c>
      <c r="F113">
        <v>7</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26</v>
      </c>
      <c r="D114">
        <v>10</v>
      </c>
      <c r="E114">
        <v>26</v>
      </c>
      <c r="F114">
        <v>12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26</v>
      </c>
      <c r="D115">
        <v>11</v>
      </c>
      <c r="E115">
        <v>28</v>
      </c>
      <c r="F115">
        <v>15</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22</v>
      </c>
      <c r="D116">
        <v>6</v>
      </c>
      <c r="E116">
        <v>23</v>
      </c>
      <c r="F116">
        <v>10</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15</v>
      </c>
      <c r="D117">
        <v>10</v>
      </c>
      <c r="E117">
        <v>12</v>
      </c>
      <c r="F117">
        <v>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19</v>
      </c>
      <c r="D118">
        <v>6</v>
      </c>
      <c r="E118">
        <v>27</v>
      </c>
      <c r="F118">
        <v>7</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18</v>
      </c>
      <c r="D119">
        <v>6</v>
      </c>
      <c r="E119">
        <v>16</v>
      </c>
      <c r="F119">
        <v>8</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13</v>
      </c>
      <c r="D120">
        <v>5</v>
      </c>
      <c r="E120">
        <v>11</v>
      </c>
      <c r="F120">
        <v>5</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31</v>
      </c>
      <c r="D121">
        <v>6</v>
      </c>
      <c r="E121">
        <v>21</v>
      </c>
      <c r="F121">
        <v>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29</v>
      </c>
      <c r="D122">
        <v>16</v>
      </c>
      <c r="E122">
        <v>19</v>
      </c>
      <c r="F122">
        <v>8</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33</v>
      </c>
      <c r="D123">
        <v>10</v>
      </c>
      <c r="E123">
        <v>29</v>
      </c>
      <c r="F123">
        <v>19</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v>
      </c>
      <c r="D124">
        <v>8</v>
      </c>
      <c r="E124">
        <v>6</v>
      </c>
      <c r="F124">
        <v>9</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28</v>
      </c>
      <c r="D125">
        <v>5</v>
      </c>
      <c r="E125">
        <v>23</v>
      </c>
      <c r="F125">
        <v>6</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23</v>
      </c>
      <c r="D126">
        <v>9</v>
      </c>
      <c r="E126">
        <v>14</v>
      </c>
      <c r="F126">
        <v>6</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31</v>
      </c>
      <c r="D127">
        <v>8</v>
      </c>
      <c r="E127">
        <v>20</v>
      </c>
      <c r="F127">
        <v>6</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v>
      </c>
      <c r="D128">
        <v>4</v>
      </c>
      <c r="E128">
        <v>8</v>
      </c>
      <c r="F128">
        <v>4</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24</v>
      </c>
      <c r="D129">
        <v>7</v>
      </c>
      <c r="E129">
        <v>18</v>
      </c>
      <c r="F129">
        <v>3</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23</v>
      </c>
      <c r="D130">
        <v>7</v>
      </c>
      <c r="E130">
        <v>25</v>
      </c>
      <c r="F130">
        <v>6</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19</v>
      </c>
      <c r="D131">
        <v>4</v>
      </c>
      <c r="E131">
        <v>16</v>
      </c>
      <c r="F131">
        <v>4</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11</v>
      </c>
      <c r="D132">
        <v>6</v>
      </c>
      <c r="E132">
        <v>12</v>
      </c>
      <c r="F132">
        <v>8</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t="e">
        <v>#N/A</v>
      </c>
      <c r="D133" t="e">
        <v>#N/A</v>
      </c>
      <c r="E133" t="e">
        <v>#N/A</v>
      </c>
      <c r="F133" t="e">
        <v>#N/A</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22</v>
      </c>
      <c r="D134">
        <v>3</v>
      </c>
      <c r="E134">
        <v>21</v>
      </c>
      <c r="F134">
        <v>3</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15</v>
      </c>
      <c r="D135">
        <v>9</v>
      </c>
      <c r="E135">
        <v>14</v>
      </c>
      <c r="F135">
        <v>9</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15</v>
      </c>
      <c r="D136">
        <v>7</v>
      </c>
      <c r="E136">
        <v>8</v>
      </c>
      <c r="F136">
        <v>9</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23</v>
      </c>
      <c r="D137">
        <v>14</v>
      </c>
      <c r="E137">
        <v>19</v>
      </c>
      <c r="F137">
        <v>10</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24</v>
      </c>
      <c r="D138">
        <v>6</v>
      </c>
      <c r="E138">
        <v>20</v>
      </c>
      <c r="F138">
        <v>7</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31</v>
      </c>
      <c r="D139">
        <v>7</v>
      </c>
      <c r="E139">
        <v>26</v>
      </c>
      <c r="F139">
        <v>10</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17</v>
      </c>
      <c r="D140">
        <v>8</v>
      </c>
      <c r="E140">
        <v>20</v>
      </c>
      <c r="F140">
        <v>6</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20</v>
      </c>
      <c r="D141">
        <v>7</v>
      </c>
      <c r="E141">
        <v>19</v>
      </c>
      <c r="F141">
        <v>8</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28</v>
      </c>
      <c r="D142">
        <v>10</v>
      </c>
      <c r="E142">
        <v>27</v>
      </c>
      <c r="F142">
        <v>12</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14</v>
      </c>
      <c r="D143">
        <v>8</v>
      </c>
      <c r="E143">
        <v>14</v>
      </c>
      <c r="F143">
        <v>10</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17</v>
      </c>
      <c r="D144">
        <v>8</v>
      </c>
      <c r="E144">
        <v>17</v>
      </c>
      <c r="F144">
        <v>8</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37</v>
      </c>
      <c r="D145">
        <v>11</v>
      </c>
      <c r="E145">
        <v>18</v>
      </c>
      <c r="F145">
        <v>8</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15</v>
      </c>
      <c r="D146">
        <v>4</v>
      </c>
      <c r="E146">
        <v>12</v>
      </c>
      <c r="F146">
        <v>4</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28</v>
      </c>
      <c r="D147">
        <v>6</v>
      </c>
      <c r="E147">
        <v>38</v>
      </c>
      <c r="F147">
        <v>6</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16</v>
      </c>
      <c r="D148">
        <v>6</v>
      </c>
      <c r="E148">
        <v>16</v>
      </c>
      <c r="F148">
        <v>7</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30</v>
      </c>
      <c r="D149">
        <v>16</v>
      </c>
      <c r="E149">
        <v>24</v>
      </c>
      <c r="F149">
        <v>22</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e">
        <v>#N/A</v>
      </c>
      <c r="D150" t="e">
        <v>#N/A</v>
      </c>
      <c r="E150" t="e">
        <v>#N/A</v>
      </c>
      <c r="F150" t="e">
        <v>#N/A</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24</v>
      </c>
      <c r="D151">
        <v>8</v>
      </c>
      <c r="E151">
        <v>22</v>
      </c>
      <c r="F151">
        <v>9</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v>
      </c>
      <c r="D152">
        <v>6</v>
      </c>
      <c r="E152">
        <v>15</v>
      </c>
      <c r="F152">
        <v>7</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22</v>
      </c>
      <c r="D153">
        <v>9</v>
      </c>
      <c r="E153">
        <v>22</v>
      </c>
      <c r="F153">
        <v>6</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23</v>
      </c>
      <c r="D154">
        <v>19</v>
      </c>
      <c r="E154">
        <v>15</v>
      </c>
      <c r="F154">
        <v>14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26</v>
      </c>
      <c r="D155">
        <v>9</v>
      </c>
      <c r="E155">
        <v>25</v>
      </c>
      <c r="F155">
        <v>11</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16</v>
      </c>
      <c r="D156">
        <v>8</v>
      </c>
      <c r="E156">
        <v>14</v>
      </c>
      <c r="F156">
        <v>9</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38</v>
      </c>
      <c r="D157">
        <v>12</v>
      </c>
      <c r="E157">
        <v>36</v>
      </c>
      <c r="F157">
        <v>18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22</v>
      </c>
      <c r="D158">
        <v>4</v>
      </c>
      <c r="E158">
        <v>16</v>
      </c>
      <c r="F158">
        <v>2</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32</v>
      </c>
      <c r="D159">
        <v>18</v>
      </c>
      <c r="E159">
        <v>47</v>
      </c>
      <c r="F159">
        <v>12</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18</v>
      </c>
      <c r="D160">
        <v>3</v>
      </c>
      <c r="E160">
        <v>15</v>
      </c>
      <c r="F160">
        <v>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18</v>
      </c>
      <c r="D161">
        <v>4</v>
      </c>
      <c r="E161">
        <v>17</v>
      </c>
      <c r="F161">
        <v>4</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18</v>
      </c>
      <c r="D162">
        <v>13</v>
      </c>
      <c r="E162">
        <v>18</v>
      </c>
      <c r="F162">
        <v>10</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28</v>
      </c>
      <c r="D163">
        <v>5</v>
      </c>
      <c r="E163">
        <v>17</v>
      </c>
      <c r="F163">
        <v>6</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16</v>
      </c>
      <c r="D164">
        <v>6</v>
      </c>
      <c r="E164">
        <v>18</v>
      </c>
      <c r="F164">
        <v>7</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23</v>
      </c>
      <c r="D165">
        <v>5</v>
      </c>
      <c r="E165">
        <v>12</v>
      </c>
      <c r="F165">
        <v>4</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11</v>
      </c>
      <c r="D166">
        <v>4</v>
      </c>
      <c r="E166">
        <v>14</v>
      </c>
      <c r="F166">
        <v>3</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13</v>
      </c>
      <c r="D167">
        <v>4</v>
      </c>
      <c r="E167">
        <v>15</v>
      </c>
      <c r="F167">
        <v>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15</v>
      </c>
      <c r="D168">
        <v>7</v>
      </c>
      <c r="E168">
        <v>13</v>
      </c>
      <c r="F168">
        <v>4</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12</v>
      </c>
      <c r="D169">
        <v>4</v>
      </c>
      <c r="E169">
        <v>9</v>
      </c>
      <c r="F169">
        <v>4</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42</v>
      </c>
      <c r="D170">
        <v>17</v>
      </c>
      <c r="E170">
        <v>55</v>
      </c>
      <c r="F170">
        <v>14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25</v>
      </c>
      <c r="D171">
        <v>10</v>
      </c>
      <c r="E171">
        <v>22</v>
      </c>
      <c r="F171">
        <v>8</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22</v>
      </c>
      <c r="D172">
        <v>6</v>
      </c>
      <c r="E172">
        <v>15</v>
      </c>
      <c r="F172">
        <v>8</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33</v>
      </c>
      <c r="D173">
        <v>18</v>
      </c>
      <c r="E173">
        <v>26</v>
      </c>
      <c r="F173">
        <v>24</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20</v>
      </c>
      <c r="D174">
        <v>4</v>
      </c>
      <c r="E174">
        <v>21</v>
      </c>
      <c r="F174">
        <v>4</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v>
      </c>
      <c r="D175">
        <v>4</v>
      </c>
      <c r="E175">
        <v>14</v>
      </c>
      <c r="F175">
        <v>4</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33</v>
      </c>
      <c r="D176">
        <v>24</v>
      </c>
      <c r="E176">
        <v>23</v>
      </c>
      <c r="F176">
        <v>21</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13</v>
      </c>
      <c r="D177">
        <v>19</v>
      </c>
      <c r="E177">
        <v>13</v>
      </c>
      <c r="F177">
        <v>11</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894</v>
      </c>
      <c r="B178" s="134"/>
      <c r="C178">
        <v>39</v>
      </c>
      <c r="D178">
        <v>13</v>
      </c>
      <c r="E178">
        <v>33</v>
      </c>
      <c r="F178">
        <v>11</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6</v>
      </c>
      <c r="D179">
        <v>4</v>
      </c>
      <c r="E179">
        <v>8</v>
      </c>
      <c r="F179">
        <v>5</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23</v>
      </c>
      <c r="D180">
        <v>8</v>
      </c>
      <c r="E180">
        <v>20</v>
      </c>
      <c r="F180">
        <v>12</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29</v>
      </c>
      <c r="D181">
        <v>18</v>
      </c>
      <c r="E181">
        <v>24</v>
      </c>
      <c r="F181">
        <v>10</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30</v>
      </c>
      <c r="D182">
        <v>7</v>
      </c>
      <c r="E182">
        <v>18</v>
      </c>
      <c r="F182">
        <v>6</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23.03921568627451</v>
      </c>
      <c r="D183">
        <v>6.46594427244582</v>
      </c>
      <c r="E183">
        <v>20</v>
      </c>
      <c r="F183">
        <v>5</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13</v>
      </c>
      <c r="D184">
        <v>7</v>
      </c>
      <c r="E184">
        <v>11</v>
      </c>
      <c r="F184">
        <v>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22</v>
      </c>
      <c r="D185">
        <v>8</v>
      </c>
      <c r="E185">
        <v>20</v>
      </c>
      <c r="F185">
        <v>8</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25</v>
      </c>
      <c r="D186">
        <v>12</v>
      </c>
      <c r="E186">
        <v>18</v>
      </c>
      <c r="F186">
        <v>12</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18</v>
      </c>
      <c r="D187">
        <v>7</v>
      </c>
      <c r="E187">
        <v>12</v>
      </c>
      <c r="F187">
        <v>7</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24</v>
      </c>
      <c r="D188">
        <v>5</v>
      </c>
      <c r="E188">
        <v>18</v>
      </c>
      <c r="F188">
        <v>6</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21</v>
      </c>
      <c r="D189">
        <v>6</v>
      </c>
      <c r="E189">
        <v>24</v>
      </c>
      <c r="F189">
        <v>6</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23</v>
      </c>
      <c r="D190">
        <v>32</v>
      </c>
      <c r="E190">
        <v>14</v>
      </c>
      <c r="F190">
        <v>26</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7</v>
      </c>
      <c r="D191">
        <v>5</v>
      </c>
      <c r="E191">
        <v>7</v>
      </c>
      <c r="F191">
        <v>5</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21</v>
      </c>
      <c r="D192">
        <v>8</v>
      </c>
      <c r="E192">
        <v>19</v>
      </c>
      <c r="F192">
        <v>9</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26</v>
      </c>
      <c r="D193">
        <v>15</v>
      </c>
      <c r="E193">
        <v>28</v>
      </c>
      <c r="F193">
        <v>16</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23</v>
      </c>
      <c r="D194">
        <v>7</v>
      </c>
      <c r="E194">
        <v>22</v>
      </c>
      <c r="F194">
        <v>7</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27</v>
      </c>
      <c r="D195">
        <v>9</v>
      </c>
      <c r="E195">
        <v>23</v>
      </c>
      <c r="F195">
        <v>12</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27</v>
      </c>
      <c r="D196">
        <v>11</v>
      </c>
      <c r="E196">
        <v>18</v>
      </c>
      <c r="F196">
        <v>10</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26</v>
      </c>
      <c r="D197">
        <v>5</v>
      </c>
      <c r="E197">
        <v>22</v>
      </c>
      <c r="F197">
        <v>7</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7</v>
      </c>
      <c r="D198">
        <v>4</v>
      </c>
      <c r="E198">
        <v>9</v>
      </c>
      <c r="F198">
        <v>4</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23</v>
      </c>
      <c r="D199">
        <v>7</v>
      </c>
      <c r="E199">
        <v>13</v>
      </c>
      <c r="F199">
        <v>7</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24</v>
      </c>
      <c r="D200">
        <v>6</v>
      </c>
      <c r="E200">
        <v>21</v>
      </c>
      <c r="F200">
        <v>6</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14</v>
      </c>
      <c r="D201">
        <v>4</v>
      </c>
      <c r="E201">
        <v>8</v>
      </c>
      <c r="F201">
        <v>4</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21</v>
      </c>
      <c r="D202">
        <v>10</v>
      </c>
      <c r="E202">
        <v>20</v>
      </c>
      <c r="F202">
        <v>13</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24</v>
      </c>
      <c r="D203">
        <v>9</v>
      </c>
      <c r="E203">
        <v>25</v>
      </c>
      <c r="F203">
        <v>13</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12</v>
      </c>
      <c r="D204">
        <v>9</v>
      </c>
      <c r="E204">
        <v>9</v>
      </c>
      <c r="F204">
        <v>8</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16</v>
      </c>
      <c r="D205">
        <v>4</v>
      </c>
      <c r="E205">
        <v>5</v>
      </c>
      <c r="F205">
        <v>3</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v>
      </c>
      <c r="D206">
        <v>7</v>
      </c>
      <c r="E206">
        <v>19</v>
      </c>
      <c r="F206">
        <v>10</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19</v>
      </c>
      <c r="D207">
        <v>6</v>
      </c>
      <c r="E207">
        <v>21</v>
      </c>
      <c r="F207">
        <v>6</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17</v>
      </c>
      <c r="D208">
        <v>14</v>
      </c>
      <c r="E208">
        <v>15</v>
      </c>
      <c r="F208">
        <v>15</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21</v>
      </c>
      <c r="D209">
        <v>4</v>
      </c>
      <c r="E209">
        <v>16</v>
      </c>
      <c r="F209">
        <v>4</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v>
      </c>
      <c r="D210">
        <v>3</v>
      </c>
      <c r="E210">
        <v>9</v>
      </c>
      <c r="F210">
        <v>3</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4</v>
      </c>
      <c r="D211">
        <v>1</v>
      </c>
      <c r="E211">
        <v>4</v>
      </c>
      <c r="F211">
        <v>1</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23</v>
      </c>
      <c r="D212">
        <v>18</v>
      </c>
      <c r="E212">
        <v>31</v>
      </c>
      <c r="F212">
        <v>21</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26</v>
      </c>
      <c r="D213">
        <v>8</v>
      </c>
      <c r="E213">
        <v>24</v>
      </c>
      <c r="F213">
        <v>13</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20</v>
      </c>
      <c r="D214">
        <v>7</v>
      </c>
      <c r="E214">
        <v>22</v>
      </c>
      <c r="F214">
        <v>6</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41</v>
      </c>
      <c r="D215">
        <v>18</v>
      </c>
      <c r="E215">
        <v>38</v>
      </c>
      <c r="F215">
        <v>23</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23</v>
      </c>
      <c r="D216">
        <v>13</v>
      </c>
      <c r="E216">
        <v>25</v>
      </c>
      <c r="F216">
        <v>14</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v>
      </c>
      <c r="D217">
        <v>10</v>
      </c>
      <c r="E217">
        <v>27</v>
      </c>
      <c r="F217">
        <v>14</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24</v>
      </c>
      <c r="D218">
        <v>10</v>
      </c>
      <c r="E218">
        <v>22</v>
      </c>
      <c r="F218">
        <v>9</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59</v>
      </c>
      <c r="D219">
        <v>16</v>
      </c>
      <c r="E219">
        <v>48</v>
      </c>
      <c r="F219">
        <v>12</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29</v>
      </c>
      <c r="D220">
        <v>16</v>
      </c>
      <c r="E220">
        <v>22</v>
      </c>
      <c r="F220">
        <v>11</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21.650294695481335</v>
      </c>
      <c r="D221">
        <v>8.4537529550827415</v>
      </c>
      <c r="E221">
        <v>16</v>
      </c>
      <c r="F221">
        <v>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14</v>
      </c>
      <c r="D222">
        <v>7</v>
      </c>
      <c r="E222">
        <v>14</v>
      </c>
      <c r="F222">
        <v>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23</v>
      </c>
      <c r="D223">
        <v>9</v>
      </c>
      <c r="E223">
        <v>33</v>
      </c>
      <c r="F223">
        <v>11</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19</v>
      </c>
      <c r="D224">
        <v>8</v>
      </c>
      <c r="E224">
        <v>17</v>
      </c>
      <c r="F224">
        <v>10</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14</v>
      </c>
      <c r="D225">
        <v>5</v>
      </c>
      <c r="E225">
        <v>15</v>
      </c>
      <c r="F225">
        <v>6</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34</v>
      </c>
      <c r="D226">
        <v>14</v>
      </c>
      <c r="E226">
        <v>21</v>
      </c>
      <c r="F226">
        <v>13</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12</v>
      </c>
      <c r="D227">
        <v>6</v>
      </c>
      <c r="E227">
        <v>14</v>
      </c>
      <c r="F227">
        <v>8</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11</v>
      </c>
      <c r="D228">
        <v>5</v>
      </c>
      <c r="E228">
        <v>15</v>
      </c>
      <c r="F228">
        <v>6</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16</v>
      </c>
      <c r="D229">
        <v>5</v>
      </c>
      <c r="E229">
        <v>14</v>
      </c>
      <c r="F229">
        <v>6</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25</v>
      </c>
      <c r="D230">
        <v>7</v>
      </c>
      <c r="E230">
        <v>17</v>
      </c>
      <c r="F230">
        <v>7</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v>
      </c>
      <c r="D231">
        <v>4</v>
      </c>
      <c r="E231">
        <v>20</v>
      </c>
      <c r="F231">
        <v>6</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26</v>
      </c>
      <c r="D232">
        <v>8</v>
      </c>
      <c r="E232">
        <v>28</v>
      </c>
      <c r="F232">
        <v>8</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21</v>
      </c>
      <c r="D233">
        <v>14</v>
      </c>
      <c r="E233">
        <v>17</v>
      </c>
      <c r="F233">
        <v>11</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27</v>
      </c>
      <c r="D234">
        <v>7</v>
      </c>
      <c r="E234">
        <v>24</v>
      </c>
      <c r="F234">
        <v>5</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19</v>
      </c>
      <c r="D235">
        <v>6</v>
      </c>
      <c r="E235">
        <v>22</v>
      </c>
      <c r="F235">
        <v>9</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21</v>
      </c>
      <c r="D236">
        <v>2</v>
      </c>
      <c r="E236">
        <v>26</v>
      </c>
      <c r="F236">
        <v>3</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11</v>
      </c>
      <c r="D237">
        <v>4</v>
      </c>
      <c r="E237">
        <v>11</v>
      </c>
      <c r="F237">
        <v>4</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17</v>
      </c>
      <c r="D238">
        <v>9</v>
      </c>
      <c r="E238" t="s">
        <v>879</v>
      </c>
      <c r="F238" t="s">
        <v>879</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40</v>
      </c>
      <c r="D239">
        <v>15</v>
      </c>
      <c r="E239">
        <v>53</v>
      </c>
      <c r="F239">
        <v>21</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14</v>
      </c>
      <c r="D240">
        <v>7</v>
      </c>
      <c r="E240">
        <v>8</v>
      </c>
      <c r="F240">
        <v>10</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19</v>
      </c>
      <c r="D241">
        <v>6</v>
      </c>
      <c r="E241">
        <v>23</v>
      </c>
      <c r="F241">
        <v>6</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11</v>
      </c>
      <c r="D242">
        <v>7</v>
      </c>
      <c r="E242">
        <v>13</v>
      </c>
      <c r="F242">
        <v>9</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18</v>
      </c>
      <c r="D243">
        <v>10</v>
      </c>
      <c r="E243">
        <v>16</v>
      </c>
      <c r="F243">
        <v>8</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17</v>
      </c>
      <c r="D244">
        <v>9</v>
      </c>
      <c r="E244">
        <v>18</v>
      </c>
      <c r="F244">
        <v>12</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32</v>
      </c>
      <c r="D245">
        <v>12</v>
      </c>
      <c r="E245">
        <v>24</v>
      </c>
      <c r="F245">
        <v>11</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13</v>
      </c>
      <c r="D246">
        <v>8</v>
      </c>
      <c r="E246">
        <v>12</v>
      </c>
      <c r="F246">
        <v>7</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20</v>
      </c>
      <c r="D247">
        <v>11</v>
      </c>
      <c r="E247">
        <v>15</v>
      </c>
      <c r="F247">
        <v>6</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24</v>
      </c>
      <c r="D248">
        <v>3</v>
      </c>
      <c r="E248">
        <v>21</v>
      </c>
      <c r="F248">
        <v>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15</v>
      </c>
      <c r="D249">
        <v>6</v>
      </c>
      <c r="E249">
        <v>13</v>
      </c>
      <c r="F249">
        <v>6</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24</v>
      </c>
      <c r="D250">
        <v>10</v>
      </c>
      <c r="E250">
        <v>20</v>
      </c>
      <c r="F250">
        <v>13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22</v>
      </c>
      <c r="D251">
        <v>7</v>
      </c>
      <c r="E251">
        <v>11</v>
      </c>
      <c r="F251">
        <v>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19</v>
      </c>
      <c r="D252">
        <v>14</v>
      </c>
      <c r="E252">
        <v>18</v>
      </c>
      <c r="F252">
        <v>9</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20</v>
      </c>
      <c r="D253">
        <v>10</v>
      </c>
      <c r="E253">
        <v>19</v>
      </c>
      <c r="F253">
        <v>12</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25</v>
      </c>
      <c r="D254">
        <v>7</v>
      </c>
      <c r="E254">
        <v>29</v>
      </c>
      <c r="F254">
        <v>11</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13</v>
      </c>
      <c r="D255">
        <v>8</v>
      </c>
      <c r="E255">
        <v>10</v>
      </c>
      <c r="F255">
        <v>10</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15</v>
      </c>
      <c r="D256">
        <v>5</v>
      </c>
      <c r="E256">
        <v>13</v>
      </c>
      <c r="F256">
        <v>5</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15</v>
      </c>
      <c r="D257">
        <v>9</v>
      </c>
      <c r="E257">
        <v>10</v>
      </c>
      <c r="F257">
        <v>7</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31</v>
      </c>
      <c r="D258">
        <v>14</v>
      </c>
      <c r="E258">
        <v>27</v>
      </c>
      <c r="F258">
        <v>11</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11</v>
      </c>
      <c r="D259">
        <v>3</v>
      </c>
      <c r="E259">
        <v>11</v>
      </c>
      <c r="F259">
        <v>4</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19</v>
      </c>
      <c r="D260">
        <v>11</v>
      </c>
      <c r="E260">
        <v>18</v>
      </c>
      <c r="F260">
        <v>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v>
      </c>
      <c r="D261">
        <v>7</v>
      </c>
      <c r="E261">
        <v>6</v>
      </c>
      <c r="F261">
        <v>6</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11</v>
      </c>
      <c r="D262">
        <v>2</v>
      </c>
      <c r="E262">
        <v>9</v>
      </c>
      <c r="F262">
        <v>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17</v>
      </c>
      <c r="D263">
        <v>5</v>
      </c>
      <c r="E263">
        <v>15</v>
      </c>
      <c r="F263">
        <v>4</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31</v>
      </c>
      <c r="D264">
        <v>6</v>
      </c>
      <c r="E264">
        <v>26</v>
      </c>
      <c r="F264">
        <v>5</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23</v>
      </c>
      <c r="D265">
        <v>10</v>
      </c>
      <c r="E265">
        <v>18</v>
      </c>
      <c r="F265">
        <v>15</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42</v>
      </c>
      <c r="D266">
        <v>4</v>
      </c>
      <c r="E266">
        <v>43</v>
      </c>
      <c r="F266">
        <v>10</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21</v>
      </c>
      <c r="D267">
        <v>11</v>
      </c>
      <c r="E267">
        <v>13</v>
      </c>
      <c r="F267">
        <v>15</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16</v>
      </c>
      <c r="D268">
        <v>6</v>
      </c>
      <c r="E268">
        <v>15</v>
      </c>
      <c r="F268">
        <v>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18</v>
      </c>
      <c r="D269">
        <v>6</v>
      </c>
      <c r="E269">
        <v>16</v>
      </c>
      <c r="F269">
        <v>3</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15</v>
      </c>
      <c r="D270">
        <v>6</v>
      </c>
      <c r="E270">
        <v>15</v>
      </c>
      <c r="F270">
        <v>7</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21</v>
      </c>
      <c r="D271">
        <v>6</v>
      </c>
      <c r="E271">
        <v>15</v>
      </c>
      <c r="F271">
        <v>5</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16</v>
      </c>
      <c r="D272">
        <v>6</v>
      </c>
      <c r="E272">
        <v>19</v>
      </c>
      <c r="F272">
        <v>9</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15</v>
      </c>
      <c r="D273">
        <v>4</v>
      </c>
      <c r="E273">
        <v>16</v>
      </c>
      <c r="F273">
        <v>4</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23</v>
      </c>
      <c r="D274">
        <v>11</v>
      </c>
      <c r="E274">
        <v>22</v>
      </c>
      <c r="F274">
        <v>15</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24</v>
      </c>
      <c r="D275">
        <v>8</v>
      </c>
      <c r="E275">
        <v>22</v>
      </c>
      <c r="F275">
        <v>15</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23</v>
      </c>
      <c r="D276">
        <v>13</v>
      </c>
      <c r="E276">
        <v>19</v>
      </c>
      <c r="F276">
        <v>9</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8</v>
      </c>
      <c r="D277">
        <v>8</v>
      </c>
      <c r="E277">
        <v>6</v>
      </c>
      <c r="F277">
        <v>6</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17</v>
      </c>
      <c r="D278">
        <v>4</v>
      </c>
      <c r="E278">
        <v>12</v>
      </c>
      <c r="F278">
        <v>4</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21</v>
      </c>
      <c r="D279">
        <v>14</v>
      </c>
      <c r="E279">
        <v>22</v>
      </c>
      <c r="F279">
        <v>14</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v>
      </c>
      <c r="D280">
        <v>11</v>
      </c>
      <c r="E280">
        <v>8</v>
      </c>
      <c r="F280">
        <v>8</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23</v>
      </c>
      <c r="D281">
        <v>7</v>
      </c>
      <c r="E281">
        <v>25</v>
      </c>
      <c r="F281">
        <v>6</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13</v>
      </c>
      <c r="D282">
        <v>8</v>
      </c>
      <c r="E282">
        <v>12</v>
      </c>
      <c r="F282">
        <v>8</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23</v>
      </c>
      <c r="D283">
        <v>6</v>
      </c>
      <c r="E283">
        <v>21</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16</v>
      </c>
      <c r="D284">
        <v>4</v>
      </c>
      <c r="E284">
        <v>17</v>
      </c>
      <c r="F284">
        <v>3</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895</v>
      </c>
      <c r="B285" s="149"/>
      <c r="C285">
        <v>56</v>
      </c>
      <c r="D285">
        <v>18</v>
      </c>
      <c r="E285">
        <v>64</v>
      </c>
      <c r="F285">
        <v>19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25</v>
      </c>
      <c r="D286">
        <v>8</v>
      </c>
      <c r="E286">
        <v>14</v>
      </c>
      <c r="F286">
        <v>6</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892</v>
      </c>
      <c r="B287" s="149"/>
      <c r="C287">
        <v>24</v>
      </c>
      <c r="D287">
        <v>10</v>
      </c>
      <c r="E287">
        <v>24</v>
      </c>
      <c r="F287">
        <v>11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23</v>
      </c>
      <c r="D288">
        <v>8</v>
      </c>
      <c r="E288">
        <v>22</v>
      </c>
      <c r="F288">
        <v>15</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897</v>
      </c>
      <c r="B289" s="149"/>
      <c r="C289">
        <v>21.911894273127754</v>
      </c>
      <c r="D289">
        <v>9.8711814501288178</v>
      </c>
      <c r="E289">
        <v>23</v>
      </c>
      <c r="F289">
        <v>8</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11</v>
      </c>
      <c r="D290">
        <v>3</v>
      </c>
      <c r="E290">
        <v>11</v>
      </c>
      <c r="F290">
        <v>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21</v>
      </c>
      <c r="D291">
        <v>6</v>
      </c>
      <c r="E291">
        <v>17</v>
      </c>
      <c r="F291">
        <v>6</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25</v>
      </c>
      <c r="D292">
        <v>8</v>
      </c>
      <c r="E292">
        <v>24</v>
      </c>
      <c r="F292">
        <v>9</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16</v>
      </c>
      <c r="D293">
        <v>5</v>
      </c>
      <c r="E293">
        <v>13</v>
      </c>
      <c r="F293">
        <v>6</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42</v>
      </c>
      <c r="D294">
        <v>15</v>
      </c>
      <c r="E294">
        <v>32</v>
      </c>
      <c r="F294">
        <v>43</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17</v>
      </c>
      <c r="D295">
        <v>5</v>
      </c>
      <c r="E295">
        <v>22</v>
      </c>
      <c r="F295">
        <v>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15</v>
      </c>
      <c r="D296">
        <v>5</v>
      </c>
      <c r="E296">
        <v>17</v>
      </c>
      <c r="F296">
        <v>6</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28</v>
      </c>
      <c r="D297">
        <v>12</v>
      </c>
      <c r="E297">
        <v>33</v>
      </c>
      <c r="F297">
        <v>12</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22</v>
      </c>
      <c r="D298">
        <v>15</v>
      </c>
      <c r="E298">
        <v>20</v>
      </c>
      <c r="F298">
        <v>12</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24</v>
      </c>
      <c r="D299">
        <v>6</v>
      </c>
      <c r="E299">
        <v>21</v>
      </c>
      <c r="F299">
        <v>6</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19</v>
      </c>
      <c r="D300">
        <v>19</v>
      </c>
      <c r="E300">
        <v>12</v>
      </c>
      <c r="F300">
        <v>16</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23</v>
      </c>
      <c r="D301">
        <v>8</v>
      </c>
      <c r="E301">
        <v>21</v>
      </c>
      <c r="F301">
        <v>8</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22</v>
      </c>
      <c r="D302">
        <v>11</v>
      </c>
      <c r="E302">
        <v>24</v>
      </c>
      <c r="F302">
        <v>17</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17</v>
      </c>
      <c r="D303">
        <v>5</v>
      </c>
      <c r="E303">
        <v>11</v>
      </c>
      <c r="F303">
        <v>4</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E2" activePane="bottomRight" state="frozen"/>
      <selection activeCell="N70" sqref="N70"/>
      <selection pane="topRight" activeCell="N70" sqref="N70"/>
      <selection pane="bottomLeft" activeCell="N70" sqref="N70"/>
      <selection pane="bottomRight" activeCell="K2" activeCellId="1" sqref="D2:D318 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896</v>
      </c>
      <c r="D3" t="s">
        <v>896</v>
      </c>
      <c r="E3" s="25" t="s">
        <v>374</v>
      </c>
      <c r="F3" s="25" t="s">
        <v>385</v>
      </c>
      <c r="G3" s="25" t="s">
        <v>394</v>
      </c>
      <c r="H3" s="26" t="s">
        <v>888</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889</v>
      </c>
      <c r="I7" s="27" t="s">
        <v>889</v>
      </c>
      <c r="J7" t="s">
        <v>315</v>
      </c>
    </row>
    <row r="8" spans="1:13" ht="14.4">
      <c r="A8" s="22" t="str">
        <f>F8&amp;(COUNTIFS(F$2:F8,F8,K$2:K8,"Sparse"))</f>
        <v>SD1</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897</v>
      </c>
      <c r="D12" t="s">
        <v>897</v>
      </c>
      <c r="E12" s="25" t="s">
        <v>374</v>
      </c>
      <c r="F12" s="25" t="s">
        <v>385</v>
      </c>
      <c r="G12" s="25" t="s">
        <v>394</v>
      </c>
      <c r="H12" s="26" t="s">
        <v>888</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889</v>
      </c>
      <c r="I16" s="27" t="s">
        <v>889</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UA2</v>
      </c>
      <c r="B26" s="22" t="str">
        <f>J26&amp;(COUNTIF(J$2:J26,J26))</f>
        <v>Unitary7</v>
      </c>
      <c r="C26" t="s">
        <v>893</v>
      </c>
      <c r="D26" t="s">
        <v>893</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888</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889</v>
      </c>
      <c r="I40" s="27" t="s">
        <v>889</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888</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889</v>
      </c>
      <c r="I54" s="27" t="s">
        <v>889</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889</v>
      </c>
      <c r="I55" s="27" t="s">
        <v>889</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889</v>
      </c>
      <c r="I56" s="27" t="s">
        <v>889</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888</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889</v>
      </c>
      <c r="I59" s="27" t="s">
        <v>889</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889</v>
      </c>
      <c r="I61" s="27" t="s">
        <v>889</v>
      </c>
      <c r="J61" t="s">
        <v>311</v>
      </c>
    </row>
    <row r="62" spans="1:11" ht="14.4">
      <c r="A62" s="22" t="str">
        <f>F62&amp;(COUNTIFS(F$2:F62,F62,K$2:K62,"Sparse"))</f>
        <v>UA4</v>
      </c>
      <c r="B62" s="22" t="str">
        <f>J62&amp;(COUNTIF(J$2:J62,J62))</f>
        <v>Unitary15</v>
      </c>
      <c r="C62" t="s">
        <v>305</v>
      </c>
      <c r="D62" t="s">
        <v>305</v>
      </c>
      <c r="E62" s="25" t="s">
        <v>1</v>
      </c>
      <c r="F62" s="25" t="s">
        <v>385</v>
      </c>
      <c r="G62" s="25" t="s">
        <v>394</v>
      </c>
      <c r="H62" s="26" t="s">
        <v>888</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888</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889</v>
      </c>
      <c r="I67" s="27" t="s">
        <v>889</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889</v>
      </c>
      <c r="I71" s="27" t="s">
        <v>889</v>
      </c>
      <c r="J71" t="s">
        <v>307</v>
      </c>
    </row>
    <row r="72" spans="1:11" ht="14.4">
      <c r="A72" s="22" t="str">
        <f>F72&amp;(COUNTIFS(F$2:F72,F72,K$2:K72,"Sparse"))</f>
        <v>SD6</v>
      </c>
      <c r="B72" s="22" t="str">
        <f>J72&amp;(COUNTIF(J$2:J72,J72))</f>
        <v>Derbyshire5</v>
      </c>
      <c r="C72" t="s">
        <v>50</v>
      </c>
      <c r="D72" t="s">
        <v>50</v>
      </c>
      <c r="E72" s="25" t="s">
        <v>366</v>
      </c>
      <c r="F72" s="25" t="s">
        <v>379</v>
      </c>
      <c r="G72" s="25" t="s">
        <v>5</v>
      </c>
      <c r="H72" s="26" t="s">
        <v>888</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889</v>
      </c>
      <c r="I76" s="27" t="s">
        <v>889</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888</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888</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888</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888</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889</v>
      </c>
      <c r="I83" s="27" t="s">
        <v>889</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888</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888</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889</v>
      </c>
      <c r="I86" s="27" t="s">
        <v>889</v>
      </c>
      <c r="J86" t="s">
        <v>327</v>
      </c>
    </row>
    <row r="87" spans="1:11" ht="14.4">
      <c r="A87" s="22" t="str">
        <f>F87&amp;(COUNTIFS(F$2:F87,F87,K$2:K87,"Sparse"))</f>
        <v>SD10</v>
      </c>
      <c r="B87" s="22" t="str">
        <f>J87&amp;(COUNTIF(J$2:J87,J87))</f>
        <v>Suffolk2</v>
      </c>
      <c r="C87" t="s">
        <v>891</v>
      </c>
      <c r="D87" t="s">
        <v>891</v>
      </c>
      <c r="E87" s="25" t="s">
        <v>368</v>
      </c>
      <c r="F87" s="25" t="s">
        <v>379</v>
      </c>
      <c r="G87" s="25" t="s">
        <v>5</v>
      </c>
      <c r="H87" s="26" t="s">
        <v>888</v>
      </c>
      <c r="I87" s="27" t="s">
        <v>888</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889</v>
      </c>
      <c r="I88" s="27" t="s">
        <v>889</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889</v>
      </c>
      <c r="I93" s="27" t="s">
        <v>889</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889</v>
      </c>
      <c r="I96" s="27" t="s">
        <v>889</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888</v>
      </c>
      <c r="I99" s="27" t="s">
        <v>380</v>
      </c>
      <c r="J99" t="s">
        <v>302</v>
      </c>
    </row>
    <row r="100" spans="1:11" ht="14.4">
      <c r="A100" s="22" t="str">
        <f>F100&amp;(COUNTIFS(F$2:F100,F100,K$2:K100,"Sparse"))</f>
        <v>SD10</v>
      </c>
      <c r="B100" s="22" t="str">
        <f>J100&amp;(COUNTIF(J$2:J100,J100))</f>
        <v>Kent5</v>
      </c>
      <c r="C100" t="s">
        <v>887</v>
      </c>
      <c r="D100" t="s">
        <v>887</v>
      </c>
      <c r="E100" s="25" t="s">
        <v>0</v>
      </c>
      <c r="F100" s="25" t="s">
        <v>379</v>
      </c>
      <c r="G100" s="25" t="s">
        <v>5</v>
      </c>
      <c r="H100" s="26" t="s">
        <v>889</v>
      </c>
      <c r="I100" s="27" t="s">
        <v>889</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888</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889</v>
      </c>
      <c r="I106" s="27" t="s">
        <v>889</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889</v>
      </c>
      <c r="I109" s="27" t="s">
        <v>889</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889</v>
      </c>
      <c r="I115" s="27" t="s">
        <v>889</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888</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889</v>
      </c>
      <c r="I120" s="27" t="s">
        <v>889</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888</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888</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888</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888</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888</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888</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888</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889</v>
      </c>
      <c r="I140" s="27" t="s">
        <v>889</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888</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889</v>
      </c>
      <c r="I147" s="27" t="s">
        <v>889</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889</v>
      </c>
      <c r="I148" s="27" t="s">
        <v>889</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889</v>
      </c>
      <c r="I151" s="27" t="s">
        <v>889</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889</v>
      </c>
      <c r="I152" s="27" t="s">
        <v>889</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889</v>
      </c>
      <c r="I154" s="27" t="s">
        <v>889</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889</v>
      </c>
      <c r="I159" s="27" t="s">
        <v>889</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888</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888</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888</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888</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888</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889</v>
      </c>
      <c r="I172" s="27" t="s">
        <v>889</v>
      </c>
      <c r="J172" t="s">
        <v>329</v>
      </c>
    </row>
    <row r="173" spans="1:11" ht="14.4">
      <c r="A173" s="22" t="str">
        <f>F173&amp;(COUNTIFS(F$2:F173,F173,K$2:K173,"Sparse"))</f>
        <v>SD20</v>
      </c>
      <c r="B173" s="22" t="str">
        <f>J173&amp;(COUNTIF(J$2:J173,J173))</f>
        <v>Hampshire9</v>
      </c>
      <c r="C173" t="s">
        <v>106</v>
      </c>
      <c r="D173" t="s">
        <v>106</v>
      </c>
      <c r="E173" s="25" t="s">
        <v>0</v>
      </c>
      <c r="F173" s="25" t="s">
        <v>379</v>
      </c>
      <c r="G173" s="25" t="s">
        <v>5</v>
      </c>
      <c r="H173" s="26" t="s">
        <v>889</v>
      </c>
      <c r="I173" s="27" t="s">
        <v>889</v>
      </c>
      <c r="J173" s="3" t="s">
        <v>313</v>
      </c>
      <c r="K173" t="s">
        <v>335</v>
      </c>
    </row>
    <row r="174" spans="1:11" ht="14.4">
      <c r="A174" s="22" t="str">
        <f>F174&amp;(COUNTIFS(F$2:F174,F174,K$2:K174,"Sparse"))</f>
        <v>SD20</v>
      </c>
      <c r="B174" s="22" t="str">
        <f>J174&amp;(COUNTIF(J$2:J174,J174))</f>
        <v>Nottinghamshire6</v>
      </c>
      <c r="C174" t="s">
        <v>345</v>
      </c>
      <c r="D174" t="s">
        <v>345</v>
      </c>
      <c r="E174" s="25" t="s">
        <v>366</v>
      </c>
      <c r="F174" s="25" t="s">
        <v>379</v>
      </c>
      <c r="G174" s="25" t="s">
        <v>5</v>
      </c>
      <c r="H174" s="26" t="s">
        <v>888</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SD20</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SD21</v>
      </c>
      <c r="B179" s="22" t="str">
        <f>J179&amp;(COUNTIF(J$2:J179,J179))</f>
        <v>Devon5</v>
      </c>
      <c r="C179" t="s">
        <v>108</v>
      </c>
      <c r="D179" t="s">
        <v>108</v>
      </c>
      <c r="E179" s="25" t="s">
        <v>1</v>
      </c>
      <c r="F179" s="25" t="s">
        <v>379</v>
      </c>
      <c r="G179" s="25" t="s">
        <v>5</v>
      </c>
      <c r="H179" s="26" t="s">
        <v>888</v>
      </c>
      <c r="I179" s="27" t="s">
        <v>380</v>
      </c>
      <c r="J179" t="s">
        <v>308</v>
      </c>
      <c r="K179" t="s">
        <v>335</v>
      </c>
    </row>
    <row r="180" spans="1:11" ht="14.4">
      <c r="A180" s="22" t="str">
        <f>F180&amp;(COUNTIFS(F$2:F180,F180,K$2:K180,"Sparse"))</f>
        <v>SD21</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SD21</v>
      </c>
      <c r="B182" s="22" t="str">
        <f>J182&amp;(COUNTIF(J$2:J182,J182))</f>
        <v>Hertfordshire6</v>
      </c>
      <c r="C182" t="s">
        <v>111</v>
      </c>
      <c r="D182" t="s">
        <v>111</v>
      </c>
      <c r="E182" s="25" t="s">
        <v>368</v>
      </c>
      <c r="F182" s="25" t="s">
        <v>379</v>
      </c>
      <c r="G182" s="25" t="s">
        <v>5</v>
      </c>
      <c r="H182" s="26" t="s">
        <v>889</v>
      </c>
      <c r="I182" s="27" t="s">
        <v>889</v>
      </c>
      <c r="J182" t="s">
        <v>314</v>
      </c>
    </row>
    <row r="183" spans="1:11" ht="14.4">
      <c r="A183" s="22" t="str">
        <f>F183&amp;(COUNTIFS(F$2:F183,F183,K$2:K183,"Sparse"))</f>
        <v>SD22</v>
      </c>
      <c r="B183" s="22" t="str">
        <f>J183&amp;(COUNTIF(J$2:J183,J183))</f>
        <v>Lincolnshire5</v>
      </c>
      <c r="C183" t="s">
        <v>112</v>
      </c>
      <c r="D183" t="s">
        <v>112</v>
      </c>
      <c r="E183" s="25" t="s">
        <v>366</v>
      </c>
      <c r="F183" s="25" t="s">
        <v>379</v>
      </c>
      <c r="G183" s="25" t="s">
        <v>5</v>
      </c>
      <c r="H183" s="26" t="s">
        <v>888</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889</v>
      </c>
      <c r="I184" s="27" t="s">
        <v>889</v>
      </c>
      <c r="J184" s="3" t="s">
        <v>394</v>
      </c>
      <c r="K184" t="s">
        <v>335</v>
      </c>
    </row>
    <row r="185" spans="1:11" ht="14.4">
      <c r="A185" s="22" t="str">
        <f>F185&amp;(COUNTIFS(F$2:F185,F185,K$2:K185,"Sparse"))</f>
        <v>SD23</v>
      </c>
      <c r="B185" s="22" t="str">
        <f>J185&amp;(COUNTIF(J$2:J185,J185))</f>
        <v>Norfolk6</v>
      </c>
      <c r="C185" t="s">
        <v>113</v>
      </c>
      <c r="D185" t="s">
        <v>113</v>
      </c>
      <c r="E185" s="25" t="s">
        <v>368</v>
      </c>
      <c r="F185" s="25" t="s">
        <v>379</v>
      </c>
      <c r="G185" s="25" t="s">
        <v>5</v>
      </c>
      <c r="H185" s="26" t="s">
        <v>888</v>
      </c>
      <c r="I185" s="27" t="s">
        <v>380</v>
      </c>
      <c r="J185" t="s">
        <v>319</v>
      </c>
      <c r="K185" t="s">
        <v>335</v>
      </c>
    </row>
    <row r="186" spans="1:11" ht="14.4">
      <c r="A186" s="22" t="str">
        <f>F186&amp;(COUNTIFS(F$2:F186,F186,K$2:K186,"Sparse"))</f>
        <v>UA9</v>
      </c>
      <c r="B186" s="22" t="str">
        <f>J186&amp;(COUNTIF(J$2:J186,J186))</f>
        <v>Unitary33</v>
      </c>
      <c r="C186" t="s">
        <v>894</v>
      </c>
      <c r="D186" t="s">
        <v>894</v>
      </c>
      <c r="E186" s="25" t="s">
        <v>366</v>
      </c>
      <c r="F186" s="25" t="s">
        <v>385</v>
      </c>
      <c r="G186" s="25" t="s">
        <v>394</v>
      </c>
      <c r="H186" s="26" t="s">
        <v>889</v>
      </c>
      <c r="I186" s="27" t="s">
        <v>889</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889</v>
      </c>
      <c r="I187" s="27" t="s">
        <v>889</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SD23</v>
      </c>
      <c r="B189" s="22" t="str">
        <f>J189&amp;(COUNTIF(J$2:J189,J189))</f>
        <v>Warwickshire1</v>
      </c>
      <c r="C189" t="s">
        <v>114</v>
      </c>
      <c r="D189" t="s">
        <v>114</v>
      </c>
      <c r="E189" s="25" t="s">
        <v>367</v>
      </c>
      <c r="F189" s="25" t="s">
        <v>379</v>
      </c>
      <c r="G189" s="25" t="s">
        <v>5</v>
      </c>
      <c r="H189" s="26" t="s">
        <v>888</v>
      </c>
      <c r="I189" s="27" t="s">
        <v>380</v>
      </c>
      <c r="J189" s="3" t="s">
        <v>330</v>
      </c>
    </row>
    <row r="190" spans="1:11" ht="14.4">
      <c r="A190" s="22" t="str">
        <f>F190&amp;(COUNTIFS(F$2:F190,F190,K$2:K190,"Sparse"))</f>
        <v>SD23</v>
      </c>
      <c r="B190" s="22" t="str">
        <f>J190&amp;(COUNTIF(J$2:J190,J190))</f>
        <v>Leicestershire7</v>
      </c>
      <c r="C190" t="s">
        <v>115</v>
      </c>
      <c r="D190" t="s">
        <v>115</v>
      </c>
      <c r="E190" s="25" t="s">
        <v>366</v>
      </c>
      <c r="F190" s="25" t="s">
        <v>379</v>
      </c>
      <c r="G190" s="25" t="s">
        <v>5</v>
      </c>
      <c r="H190" s="26" t="s">
        <v>888</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888</v>
      </c>
      <c r="I192" s="27" t="s">
        <v>380</v>
      </c>
      <c r="J192" t="s">
        <v>394</v>
      </c>
      <c r="K192" t="s">
        <v>335</v>
      </c>
    </row>
    <row r="193" spans="1:11" ht="14.4">
      <c r="A193" s="22" t="str">
        <f>F193&amp;(COUNTIFS(F$2:F193,F193,K$2:K193,"Sparse"))</f>
        <v>SD23</v>
      </c>
      <c r="B193" s="22" t="str">
        <f>J193&amp;(COUNTIF(J$2:J193,J193))</f>
        <v>Norfolk7</v>
      </c>
      <c r="C193" s="27" t="s">
        <v>117</v>
      </c>
      <c r="D193" s="27" t="s">
        <v>117</v>
      </c>
      <c r="E193" s="25" t="s">
        <v>368</v>
      </c>
      <c r="F193" s="25" t="s">
        <v>379</v>
      </c>
      <c r="G193" s="25" t="s">
        <v>5</v>
      </c>
      <c r="H193" s="27" t="s">
        <v>382</v>
      </c>
      <c r="I193" s="27" t="s">
        <v>382</v>
      </c>
      <c r="J193" t="s">
        <v>319</v>
      </c>
    </row>
    <row r="194" spans="1:11"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1" ht="14.4">
      <c r="A195" s="22" t="str">
        <f>F195&amp;(COUNTIFS(F$2:F195,F195,K$2:K195,"Sparse"))</f>
        <v>SC6</v>
      </c>
      <c r="B195" s="22" t="str">
        <f>J195&amp;(COUNTIF(J$2:J195,J195))</f>
        <v>Nottinghamshire7</v>
      </c>
      <c r="C195" s="27" t="s">
        <v>323</v>
      </c>
      <c r="D195" s="27" t="s">
        <v>323</v>
      </c>
      <c r="E195" s="25" t="s">
        <v>366</v>
      </c>
      <c r="F195" s="25" t="s">
        <v>387</v>
      </c>
      <c r="G195" s="25" t="s">
        <v>301</v>
      </c>
      <c r="H195" s="27" t="s">
        <v>889</v>
      </c>
      <c r="I195" s="27" t="s">
        <v>889</v>
      </c>
      <c r="J195" t="s">
        <v>323</v>
      </c>
      <c r="K195" t="s">
        <v>335</v>
      </c>
    </row>
    <row r="196" spans="1:11" ht="14.4">
      <c r="A196" s="22" t="str">
        <f>F196&amp;(COUNTIFS(F$2:F196,F196,K$2:K196,"Sparse"))</f>
        <v>SD23</v>
      </c>
      <c r="B196" s="22" t="str">
        <f>J196&amp;(COUNTIF(J$2:J196,J196))</f>
        <v>Warwickshire2</v>
      </c>
      <c r="C196" t="s">
        <v>346</v>
      </c>
      <c r="D196" t="s">
        <v>346</v>
      </c>
      <c r="E196" s="25" t="s">
        <v>367</v>
      </c>
      <c r="F196" s="25" t="s">
        <v>379</v>
      </c>
      <c r="G196" s="25" t="s">
        <v>5</v>
      </c>
      <c r="H196" s="26" t="s">
        <v>382</v>
      </c>
      <c r="I196" s="27" t="s">
        <v>382</v>
      </c>
      <c r="J196" s="3" t="s">
        <v>330</v>
      </c>
    </row>
    <row r="197" spans="1:11" ht="14.4">
      <c r="A197" s="22" t="str">
        <f>F197&amp;(COUNTIFS(F$2:F197,F197,K$2:K197,"Sparse"))</f>
        <v>SD23</v>
      </c>
      <c r="B197" s="22" t="str">
        <f>J197&amp;(COUNTIF(J$2:J197,J197))</f>
        <v>Leicestershire8</v>
      </c>
      <c r="C197" t="s">
        <v>347</v>
      </c>
      <c r="D197" t="s">
        <v>347</v>
      </c>
      <c r="E197" s="25" t="s">
        <v>366</v>
      </c>
      <c r="F197" s="25" t="s">
        <v>379</v>
      </c>
      <c r="G197" s="25" t="s">
        <v>5</v>
      </c>
      <c r="H197" s="26" t="s">
        <v>382</v>
      </c>
      <c r="I197" s="27" t="s">
        <v>382</v>
      </c>
      <c r="J197" t="s">
        <v>317</v>
      </c>
    </row>
    <row r="198" spans="1:11"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1" ht="14.4">
      <c r="A199" s="22" t="str">
        <f>F199&amp;(COUNTIFS(F$2:F199,F199,K$2:K199,"Sparse"))</f>
        <v>SD23</v>
      </c>
      <c r="B199" s="22" t="str">
        <f>J199&amp;(COUNTIF(J$2:J199,J199))</f>
        <v>Oxfordshire2</v>
      </c>
      <c r="C199" s="27" t="s">
        <v>118</v>
      </c>
      <c r="D199" s="27" t="s">
        <v>118</v>
      </c>
      <c r="E199" s="25" t="s">
        <v>0</v>
      </c>
      <c r="F199" s="25" t="s">
        <v>379</v>
      </c>
      <c r="G199" s="25" t="s">
        <v>5</v>
      </c>
      <c r="H199" s="27" t="s">
        <v>382</v>
      </c>
      <c r="I199" s="27" t="s">
        <v>382</v>
      </c>
      <c r="J199" t="s">
        <v>324</v>
      </c>
    </row>
    <row r="200" spans="1:11" ht="14.4">
      <c r="A200" s="22" t="str">
        <f>F200&amp;(COUNTIFS(F$2:F200,F200,K$2:K200,"Sparse"))</f>
        <v>SC6</v>
      </c>
      <c r="B200" s="22" t="str">
        <f>J200&amp;(COUNTIF(J$2:J200,J200))</f>
        <v>Oxfordshire3</v>
      </c>
      <c r="C200" t="s">
        <v>324</v>
      </c>
      <c r="D200" t="s">
        <v>324</v>
      </c>
      <c r="E200" s="25" t="s">
        <v>0</v>
      </c>
      <c r="F200" s="25" t="s">
        <v>387</v>
      </c>
      <c r="G200" s="25" t="s">
        <v>301</v>
      </c>
      <c r="H200" s="26" t="s">
        <v>380</v>
      </c>
      <c r="I200" s="27" t="s">
        <v>380</v>
      </c>
      <c r="J200" t="s">
        <v>324</v>
      </c>
    </row>
    <row r="201" spans="1:11" ht="14.4">
      <c r="A201" s="22" t="str">
        <f>F201&amp;(COUNTIFS(F$2:F201,F201,K$2:K201,"Sparse"))</f>
        <v>SD23</v>
      </c>
      <c r="B201" s="22" t="str">
        <f>J201&amp;(COUNTIF(J$2:J201,J201))</f>
        <v>Lancashire7</v>
      </c>
      <c r="C201" t="s">
        <v>119</v>
      </c>
      <c r="D201" t="s">
        <v>119</v>
      </c>
      <c r="E201" s="25" t="s">
        <v>374</v>
      </c>
      <c r="F201" s="25" t="s">
        <v>379</v>
      </c>
      <c r="G201" s="25" t="s">
        <v>5</v>
      </c>
      <c r="H201" s="26" t="s">
        <v>382</v>
      </c>
      <c r="I201" s="27" t="s">
        <v>382</v>
      </c>
      <c r="J201" t="s">
        <v>316</v>
      </c>
    </row>
    <row r="202" spans="1:11"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1"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1"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1" ht="14.4">
      <c r="A205" s="22" t="str">
        <f>F205&amp;(COUNTIFS(F$2:F205,F205,K$2:K205,"Sparse"))</f>
        <v>SD23</v>
      </c>
      <c r="B205" s="22" t="str">
        <f>J205&amp;(COUNTIF(J$2:J205,J205))</f>
        <v>Lancashire8</v>
      </c>
      <c r="C205" t="s">
        <v>120</v>
      </c>
      <c r="D205" t="s">
        <v>120</v>
      </c>
      <c r="E205" s="25" t="s">
        <v>374</v>
      </c>
      <c r="F205" s="25" t="s">
        <v>379</v>
      </c>
      <c r="G205" s="25" t="s">
        <v>5</v>
      </c>
      <c r="H205" s="26" t="s">
        <v>382</v>
      </c>
      <c r="I205" s="27" t="s">
        <v>382</v>
      </c>
      <c r="J205" t="s">
        <v>316</v>
      </c>
    </row>
    <row r="206" spans="1:11"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1"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1" ht="14.4">
      <c r="A208" s="22" t="str">
        <f>F208&amp;(COUNTIFS(F$2:F208,F208,K$2:K208,"Sparse"))</f>
        <v>UA12</v>
      </c>
      <c r="B208" s="22" t="str">
        <f>J208&amp;(COUNTIF(J$2:J208,J208))</f>
        <v>Unitary42</v>
      </c>
      <c r="C208" t="s">
        <v>808</v>
      </c>
      <c r="D208" t="s">
        <v>808</v>
      </c>
      <c r="E208" s="25" t="s">
        <v>388</v>
      </c>
      <c r="F208" s="25" t="s">
        <v>385</v>
      </c>
      <c r="G208" s="25" t="s">
        <v>394</v>
      </c>
      <c r="H208" s="26" t="s">
        <v>889</v>
      </c>
      <c r="I208" s="27" t="s">
        <v>889</v>
      </c>
      <c r="J208" s="3" t="s">
        <v>394</v>
      </c>
    </row>
    <row r="209" spans="1:11" ht="14.4">
      <c r="A209" s="22" t="str">
        <f>F209&amp;(COUNTIFS(F$2:F209,F209,K$2:K209,"Sparse"))</f>
        <v>SD23</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SD23</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SD24</v>
      </c>
      <c r="B211" s="22" t="str">
        <f>J211&amp;(COUNTIF(J$2:J211,J211))</f>
        <v>Lancashire9</v>
      </c>
      <c r="C211" t="s">
        <v>123</v>
      </c>
      <c r="D211" t="s">
        <v>123</v>
      </c>
      <c r="E211" s="25" t="s">
        <v>374</v>
      </c>
      <c r="F211" s="25" t="s">
        <v>379</v>
      </c>
      <c r="G211" s="25" t="s">
        <v>5</v>
      </c>
      <c r="H211" s="26" t="s">
        <v>888</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SD24</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SD24</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SD25</v>
      </c>
      <c r="B216" s="22" t="str">
        <f>J216&amp;(COUNTIF(J$2:J216,J216))</f>
        <v>East Sussex5</v>
      </c>
      <c r="C216" t="s">
        <v>127</v>
      </c>
      <c r="D216" t="s">
        <v>127</v>
      </c>
      <c r="E216" s="25" t="s">
        <v>0</v>
      </c>
      <c r="F216" s="25" t="s">
        <v>379</v>
      </c>
      <c r="G216" s="25" t="s">
        <v>5</v>
      </c>
      <c r="H216" s="26" t="s">
        <v>888</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SD26</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SD26</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SD26</v>
      </c>
      <c r="B220" s="22" t="str">
        <f>J220&amp;(COUNTIF(J$2:J220,J220))</f>
        <v>Nottinghamshire8</v>
      </c>
      <c r="C220" t="s">
        <v>130</v>
      </c>
      <c r="D220" t="s">
        <v>130</v>
      </c>
      <c r="E220" s="25" t="s">
        <v>366</v>
      </c>
      <c r="F220" s="25" t="s">
        <v>379</v>
      </c>
      <c r="G220" s="25" t="s">
        <v>5</v>
      </c>
      <c r="H220" s="26" t="s">
        <v>888</v>
      </c>
      <c r="I220" s="27" t="s">
        <v>380</v>
      </c>
      <c r="J220" t="s">
        <v>323</v>
      </c>
    </row>
    <row r="221" spans="1:11" ht="14.4">
      <c r="A221" s="22" t="str">
        <f>F221&amp;(COUNTIFS(F$2:F221,F221,K$2:K221,"Sparse"))</f>
        <v>SD26</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888</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SD26</v>
      </c>
      <c r="B226" s="22" t="str">
        <f>J226&amp;(COUNTIF(J$2:J226,J226))</f>
        <v>Kent9</v>
      </c>
      <c r="C226" t="s">
        <v>136</v>
      </c>
      <c r="D226" t="s">
        <v>136</v>
      </c>
      <c r="E226" s="25" t="s">
        <v>0</v>
      </c>
      <c r="F226" s="25" t="s">
        <v>379</v>
      </c>
      <c r="G226" s="25" t="s">
        <v>5</v>
      </c>
      <c r="H226" s="26" t="s">
        <v>888</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888</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SD27</v>
      </c>
      <c r="B232" s="22" t="str">
        <f>J232&amp;(COUNTIF(J$2:J232,J232))</f>
        <v>Cambridgeshire6</v>
      </c>
      <c r="C232" t="s">
        <v>138</v>
      </c>
      <c r="D232" t="s">
        <v>138</v>
      </c>
      <c r="E232" s="25" t="s">
        <v>368</v>
      </c>
      <c r="F232" s="25" t="s">
        <v>379</v>
      </c>
      <c r="G232" s="25" t="s">
        <v>5</v>
      </c>
      <c r="H232" s="26" t="s">
        <v>888</v>
      </c>
      <c r="I232" s="27" t="s">
        <v>380</v>
      </c>
      <c r="J232" s="3" t="s">
        <v>302</v>
      </c>
      <c r="K232" t="s">
        <v>335</v>
      </c>
    </row>
    <row r="233" spans="1:11" ht="14.4">
      <c r="A233" s="22" t="str">
        <f>F233&amp;(COUNTIFS(F$2:F233,F233,K$2:K233,"Sparse"))</f>
        <v>SD27</v>
      </c>
      <c r="B233" s="22" t="str">
        <f>J233&amp;(COUNTIF(J$2:J233,J233))</f>
        <v>Derbyshire9</v>
      </c>
      <c r="C233" t="s">
        <v>139</v>
      </c>
      <c r="D233" t="s">
        <v>139</v>
      </c>
      <c r="E233" s="25" t="s">
        <v>366</v>
      </c>
      <c r="F233" s="25" t="s">
        <v>379</v>
      </c>
      <c r="G233" s="25" t="s">
        <v>5</v>
      </c>
      <c r="H233" s="26" t="s">
        <v>889</v>
      </c>
      <c r="I233" s="27" t="s">
        <v>889</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SD28</v>
      </c>
      <c r="B235" s="22" t="str">
        <f>J235&amp;(COUNTIF(J$2:J235,J235))</f>
        <v>Devon6</v>
      </c>
      <c r="C235" s="27" t="s">
        <v>140</v>
      </c>
      <c r="D235" s="27" t="s">
        <v>140</v>
      </c>
      <c r="E235" s="25" t="s">
        <v>1</v>
      </c>
      <c r="F235" s="25" t="s">
        <v>379</v>
      </c>
      <c r="G235" s="25" t="s">
        <v>5</v>
      </c>
      <c r="H235" s="27" t="s">
        <v>888</v>
      </c>
      <c r="I235" s="27" t="s">
        <v>380</v>
      </c>
      <c r="J235" t="s">
        <v>308</v>
      </c>
      <c r="K235" t="s">
        <v>335</v>
      </c>
    </row>
    <row r="236" spans="1:11" ht="14.4">
      <c r="A236" s="22" t="str">
        <f>F236&amp;(COUNTIFS(F$2:F236,F236,K$2:K236,"Sparse"))</f>
        <v>SD29</v>
      </c>
      <c r="B236" s="22" t="str">
        <f>J236&amp;(COUNTIF(J$2:J236,J236))</f>
        <v>Lincolnshire6</v>
      </c>
      <c r="C236" t="s">
        <v>141</v>
      </c>
      <c r="D236" t="s">
        <v>141</v>
      </c>
      <c r="E236" s="25" t="s">
        <v>366</v>
      </c>
      <c r="F236" s="25" t="s">
        <v>379</v>
      </c>
      <c r="G236" s="25" t="s">
        <v>5</v>
      </c>
      <c r="H236" s="26" t="s">
        <v>888</v>
      </c>
      <c r="I236" s="27" t="s">
        <v>380</v>
      </c>
      <c r="J236" t="s">
        <v>318</v>
      </c>
      <c r="K236" t="s">
        <v>335</v>
      </c>
    </row>
    <row r="237" spans="1:11" ht="14.4">
      <c r="A237" s="22" t="str">
        <f>F237&amp;(COUNTIFS(F$2:F237,F237,K$2:K237,"Sparse"))</f>
        <v>SD30</v>
      </c>
      <c r="B237" s="22" t="str">
        <f>J237&amp;(COUNTIF(J$2:J237,J237))</f>
        <v>Lincolnshire7</v>
      </c>
      <c r="C237" t="s">
        <v>142</v>
      </c>
      <c r="D237" t="s">
        <v>142</v>
      </c>
      <c r="E237" s="25" t="s">
        <v>366</v>
      </c>
      <c r="F237" s="25" t="s">
        <v>379</v>
      </c>
      <c r="G237" s="25" t="s">
        <v>5</v>
      </c>
      <c r="H237" s="26" t="s">
        <v>888</v>
      </c>
      <c r="I237" s="27" t="s">
        <v>380</v>
      </c>
      <c r="J237" t="s">
        <v>318</v>
      </c>
      <c r="K237" t="s">
        <v>335</v>
      </c>
    </row>
    <row r="238" spans="1:11" ht="14.4">
      <c r="A238" s="22" t="str">
        <f>F238&amp;(COUNTIFS(F$2:F238,F238,K$2:K238,"Sparse"))</f>
        <v>SD31</v>
      </c>
      <c r="B238" s="22" t="str">
        <f>J238&amp;(COUNTIF(J$2:J238,J238))</f>
        <v>Norfolk8</v>
      </c>
      <c r="C238" t="s">
        <v>144</v>
      </c>
      <c r="D238" t="s">
        <v>144</v>
      </c>
      <c r="E238" s="25" t="s">
        <v>368</v>
      </c>
      <c r="F238" s="25" t="s">
        <v>379</v>
      </c>
      <c r="G238" s="25" t="s">
        <v>5</v>
      </c>
      <c r="H238" s="26" t="s">
        <v>888</v>
      </c>
      <c r="I238" s="27" t="s">
        <v>380</v>
      </c>
      <c r="J238" s="3" t="s">
        <v>319</v>
      </c>
      <c r="K238" t="s">
        <v>335</v>
      </c>
    </row>
    <row r="239" spans="1:11" ht="14.4">
      <c r="A239" s="22" t="str">
        <f>F239&amp;(COUNTIFS(F$2:F239,F239,K$2:K239,"Sparse"))</f>
        <v>SD32</v>
      </c>
      <c r="B239" s="22" t="str">
        <f>J239&amp;(COUNTIF(J$2:J239,J239))</f>
        <v>Oxfordshire4</v>
      </c>
      <c r="C239" t="s">
        <v>146</v>
      </c>
      <c r="D239" t="s">
        <v>146</v>
      </c>
      <c r="E239" s="25" t="s">
        <v>0</v>
      </c>
      <c r="F239" s="25" t="s">
        <v>379</v>
      </c>
      <c r="G239" s="25" t="s">
        <v>5</v>
      </c>
      <c r="H239" s="26" t="s">
        <v>888</v>
      </c>
      <c r="I239" s="27" t="s">
        <v>380</v>
      </c>
      <c r="J239" t="s">
        <v>324</v>
      </c>
      <c r="K239" t="s">
        <v>335</v>
      </c>
    </row>
    <row r="240" spans="1:11" ht="14.4">
      <c r="A240" s="22" t="str">
        <f>F240&amp;(COUNTIFS(F$2:F240,F240,K$2:K240,"Sparse"))</f>
        <v>SD32</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SD32</v>
      </c>
      <c r="B241" s="22" t="str">
        <f>J241&amp;(COUNTIF(J$2:J241,J241))</f>
        <v>Staffordshire5</v>
      </c>
      <c r="C241" t="s">
        <v>149</v>
      </c>
      <c r="D241" t="s">
        <v>149</v>
      </c>
      <c r="E241" s="25" t="s">
        <v>367</v>
      </c>
      <c r="F241" s="25" t="s">
        <v>379</v>
      </c>
      <c r="G241" s="25" t="s">
        <v>5</v>
      </c>
      <c r="H241" s="26" t="s">
        <v>889</v>
      </c>
      <c r="I241" s="27" t="s">
        <v>889</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SD32</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SD32</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SD33</v>
      </c>
      <c r="B249" s="22" t="str">
        <f>J249&amp;(COUNTIF(J$2:J249,J249))</f>
        <v>Staffordshire6</v>
      </c>
      <c r="C249" t="s">
        <v>153</v>
      </c>
      <c r="D249" t="s">
        <v>153</v>
      </c>
      <c r="E249" s="25" t="s">
        <v>367</v>
      </c>
      <c r="F249" s="25" t="s">
        <v>379</v>
      </c>
      <c r="G249" s="25" t="s">
        <v>5</v>
      </c>
      <c r="H249" s="26" t="s">
        <v>889</v>
      </c>
      <c r="I249" s="27" t="s">
        <v>889</v>
      </c>
      <c r="J249" s="3" t="s">
        <v>327</v>
      </c>
      <c r="K249" t="s">
        <v>335</v>
      </c>
    </row>
    <row r="250" spans="1:11" ht="14.4">
      <c r="A250" s="22" t="str">
        <f>F250&amp;(COUNTIFS(F$2:F250,F250,K$2:K250,"Sparse"))</f>
        <v>SC7</v>
      </c>
      <c r="B250" s="22" t="str">
        <f>J250&amp;(COUNTIF(J$2:J250,J250))</f>
        <v>Staffordshire7</v>
      </c>
      <c r="C250" t="s">
        <v>327</v>
      </c>
      <c r="D250" t="s">
        <v>327</v>
      </c>
      <c r="E250" s="25" t="s">
        <v>367</v>
      </c>
      <c r="F250" s="25" t="s">
        <v>387</v>
      </c>
      <c r="G250" s="25" t="s">
        <v>301</v>
      </c>
      <c r="H250" s="26" t="s">
        <v>889</v>
      </c>
      <c r="I250" s="27" t="s">
        <v>889</v>
      </c>
      <c r="J250" s="3" t="s">
        <v>327</v>
      </c>
      <c r="K250" t="s">
        <v>335</v>
      </c>
    </row>
    <row r="251" spans="1:11" ht="14.4">
      <c r="A251" s="22" t="str">
        <f>F251&amp;(COUNTIFS(F$2:F251,F251,K$2:K251,"Sparse"))</f>
        <v>SD33</v>
      </c>
      <c r="B251" s="22" t="str">
        <f>J251&amp;(COUNTIF(J$2:J251,J251))</f>
        <v>Staffordshire8</v>
      </c>
      <c r="C251" t="s">
        <v>154</v>
      </c>
      <c r="D251" t="s">
        <v>154</v>
      </c>
      <c r="E251" s="25" t="s">
        <v>367</v>
      </c>
      <c r="F251" s="25" t="s">
        <v>379</v>
      </c>
      <c r="G251" s="25" t="s">
        <v>5</v>
      </c>
      <c r="H251" s="26" t="s">
        <v>888</v>
      </c>
      <c r="I251" s="27" t="s">
        <v>380</v>
      </c>
      <c r="J251" t="s">
        <v>327</v>
      </c>
    </row>
    <row r="252" spans="1:11" ht="14.4">
      <c r="A252" s="22" t="str">
        <f>F252&amp;(COUNTIFS(F$2:F252,F252,K$2:K252,"Sparse"))</f>
        <v>SD33</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SD34</v>
      </c>
      <c r="B256" s="22" t="str">
        <f>J256&amp;(COUNTIF(J$2:J256,J256))</f>
        <v>Warwickshire4</v>
      </c>
      <c r="C256" s="27" t="s">
        <v>156</v>
      </c>
      <c r="D256" s="27" t="s">
        <v>156</v>
      </c>
      <c r="E256" s="25" t="s">
        <v>367</v>
      </c>
      <c r="F256" s="25" t="s">
        <v>379</v>
      </c>
      <c r="G256" s="25" t="s">
        <v>5</v>
      </c>
      <c r="H256" s="27" t="s">
        <v>888</v>
      </c>
      <c r="I256" s="27" t="s">
        <v>380</v>
      </c>
      <c r="J256" t="s">
        <v>330</v>
      </c>
      <c r="K256" t="s">
        <v>335</v>
      </c>
    </row>
    <row r="257" spans="1:11" ht="14.4">
      <c r="A257" s="22" t="str">
        <f>F257&amp;(COUNTIFS(F$2:F257,F257,K$2:K257,"Sparse"))</f>
        <v>SD35</v>
      </c>
      <c r="B257" s="22" t="str">
        <f>J257&amp;(COUNTIF(J$2:J257,J257))</f>
        <v>Gloucestershire6</v>
      </c>
      <c r="C257" t="s">
        <v>157</v>
      </c>
      <c r="D257" t="s">
        <v>157</v>
      </c>
      <c r="E257" s="25" t="s">
        <v>1</v>
      </c>
      <c r="F257" s="25" t="s">
        <v>379</v>
      </c>
      <c r="G257" s="25" t="s">
        <v>5</v>
      </c>
      <c r="H257" s="26" t="s">
        <v>889</v>
      </c>
      <c r="I257" s="27" t="s">
        <v>889</v>
      </c>
      <c r="J257" t="s">
        <v>312</v>
      </c>
      <c r="K257" t="s">
        <v>335</v>
      </c>
    </row>
    <row r="258" spans="1:11" ht="14.4">
      <c r="A258" s="22" t="str">
        <f>F258&amp;(COUNTIFS(F$2:F258,F258,K$2:K258,"Sparse"))</f>
        <v>SC8</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SC8</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SD35</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SD35</v>
      </c>
      <c r="B263" s="22" t="str">
        <f>J263&amp;(COUNTIF(J$2:J263,J263))</f>
        <v>Kent10</v>
      </c>
      <c r="C263" t="s">
        <v>160</v>
      </c>
      <c r="D263" t="s">
        <v>160</v>
      </c>
      <c r="E263" s="25" t="s">
        <v>0</v>
      </c>
      <c r="F263" s="25" t="s">
        <v>379</v>
      </c>
      <c r="G263" s="25" t="s">
        <v>5</v>
      </c>
      <c r="H263" s="26" t="s">
        <v>888</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SD35</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SD35</v>
      </c>
      <c r="B267" s="22" t="str">
        <f>J267&amp;(COUNTIF(J$2:J267,J267))</f>
        <v>Surrey10</v>
      </c>
      <c r="C267" t="s">
        <v>162</v>
      </c>
      <c r="D267" t="s">
        <v>162</v>
      </c>
      <c r="E267" s="25" t="s">
        <v>0</v>
      </c>
      <c r="F267" s="25" t="s">
        <v>379</v>
      </c>
      <c r="G267" s="25" t="s">
        <v>5</v>
      </c>
      <c r="H267" s="26" t="s">
        <v>889</v>
      </c>
      <c r="I267" s="27" t="s">
        <v>889</v>
      </c>
      <c r="J267" t="s">
        <v>329</v>
      </c>
    </row>
    <row r="268" spans="1:11" ht="14.4">
      <c r="A268" s="22" t="str">
        <f>F268&amp;(COUNTIFS(F$2:F268,F268,K$2:K268,"Sparse"))</f>
        <v>SD36</v>
      </c>
      <c r="B268" s="22" t="str">
        <f>J268&amp;(COUNTIF(J$2:J268,J268))</f>
        <v>Devon7</v>
      </c>
      <c r="C268" t="s">
        <v>164</v>
      </c>
      <c r="D268" t="s">
        <v>164</v>
      </c>
      <c r="E268" s="25" t="s">
        <v>1</v>
      </c>
      <c r="F268" s="25" t="s">
        <v>379</v>
      </c>
      <c r="G268" s="25" t="s">
        <v>5</v>
      </c>
      <c r="H268" s="26" t="s">
        <v>888</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SD36</v>
      </c>
      <c r="B270" s="22" t="str">
        <f>J270&amp;(COUNTIF(J$2:J270,J270))</f>
        <v>Essex12</v>
      </c>
      <c r="C270" t="s">
        <v>165</v>
      </c>
      <c r="D270" t="s">
        <v>165</v>
      </c>
      <c r="E270" s="25" t="s">
        <v>368</v>
      </c>
      <c r="F270" s="25" t="s">
        <v>379</v>
      </c>
      <c r="G270" s="25" t="s">
        <v>5</v>
      </c>
      <c r="H270" s="26" t="s">
        <v>888</v>
      </c>
      <c r="I270" s="27" t="s">
        <v>380</v>
      </c>
      <c r="J270" s="3" t="s">
        <v>311</v>
      </c>
    </row>
    <row r="271" spans="1:11" ht="14.4">
      <c r="A271" s="22" t="str">
        <f>F271&amp;(COUNTIFS(F$2:F271,F271,K$2:K271,"Sparse"))</f>
        <v>SD36</v>
      </c>
      <c r="B271" s="22" t="str">
        <f>J271&amp;(COUNTIF(J$2:J271,J271))</f>
        <v>Hampshire11</v>
      </c>
      <c r="C271" t="s">
        <v>166</v>
      </c>
      <c r="D271" t="s">
        <v>166</v>
      </c>
      <c r="E271" s="25" t="s">
        <v>0</v>
      </c>
      <c r="F271" s="25" t="s">
        <v>379</v>
      </c>
      <c r="G271" s="25" t="s">
        <v>5</v>
      </c>
      <c r="H271" s="26" t="s">
        <v>889</v>
      </c>
      <c r="I271" s="27" t="s">
        <v>889</v>
      </c>
      <c r="J271" t="s">
        <v>313</v>
      </c>
    </row>
    <row r="272" spans="1:11" ht="14.4">
      <c r="A272" s="22" t="str">
        <f>F272&amp;(COUNTIFS(F$2:F272,F272,K$2:K272,"Sparse"))</f>
        <v>SD37</v>
      </c>
      <c r="B272" s="22" t="str">
        <f>J272&amp;(COUNTIF(J$2:J272,J272))</f>
        <v>Gloucestershire7</v>
      </c>
      <c r="C272" t="s">
        <v>167</v>
      </c>
      <c r="D272" t="s">
        <v>167</v>
      </c>
      <c r="E272" s="25" t="s">
        <v>1</v>
      </c>
      <c r="F272" s="25" t="s">
        <v>379</v>
      </c>
      <c r="G272" s="25" t="s">
        <v>5</v>
      </c>
      <c r="H272" s="26" t="s">
        <v>888</v>
      </c>
      <c r="I272" s="27" t="s">
        <v>380</v>
      </c>
      <c r="J272" t="s">
        <v>312</v>
      </c>
      <c r="K272" t="s">
        <v>335</v>
      </c>
    </row>
    <row r="273" spans="1:11" ht="14.4">
      <c r="A273" s="22" t="str">
        <f>F273&amp;(COUNTIFS(F$2:F273,F273,K$2:K273,"Sparse"))</f>
        <v>SD37</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SD37</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SD37</v>
      </c>
      <c r="B276" s="22" t="str">
        <f>J276&amp;(COUNTIF(J$2:J276,J276))</f>
        <v>Kent12</v>
      </c>
      <c r="C276" t="s">
        <v>349</v>
      </c>
      <c r="D276" t="s">
        <v>349</v>
      </c>
      <c r="E276" s="25" t="s">
        <v>0</v>
      </c>
      <c r="F276" s="25" t="s">
        <v>379</v>
      </c>
      <c r="G276" s="25" t="s">
        <v>5</v>
      </c>
      <c r="H276" s="26" t="s">
        <v>889</v>
      </c>
      <c r="I276" s="27" t="s">
        <v>889</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SD38</v>
      </c>
      <c r="B278" s="22" t="str">
        <f>J278&amp;(COUNTIF(J$2:J278,J278))</f>
        <v>Devon8</v>
      </c>
      <c r="C278" t="s">
        <v>170</v>
      </c>
      <c r="D278" t="s">
        <v>170</v>
      </c>
      <c r="E278" s="25" t="s">
        <v>1</v>
      </c>
      <c r="F278" s="25" t="s">
        <v>379</v>
      </c>
      <c r="G278" s="25" t="s">
        <v>5</v>
      </c>
      <c r="H278" s="26" t="s">
        <v>888</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SD38</v>
      </c>
      <c r="B281" s="22" t="str">
        <f>J281&amp;(COUNTIF(J$2:J281,J281))</f>
        <v>Kent13</v>
      </c>
      <c r="C281" t="s">
        <v>171</v>
      </c>
      <c r="D281" t="s">
        <v>171</v>
      </c>
      <c r="E281" s="25" t="s">
        <v>0</v>
      </c>
      <c r="F281" s="25" t="s">
        <v>379</v>
      </c>
      <c r="G281" s="25" t="s">
        <v>5</v>
      </c>
      <c r="H281" s="26" t="s">
        <v>889</v>
      </c>
      <c r="I281" s="27" t="s">
        <v>889</v>
      </c>
      <c r="J281" s="3" t="s">
        <v>315</v>
      </c>
    </row>
    <row r="282" spans="1:11" ht="14.4">
      <c r="A282" s="22" t="str">
        <f>F282&amp;(COUNTIFS(F$2:F282,F282,K$2:K282,"Sparse"))</f>
        <v>SD39</v>
      </c>
      <c r="B282" s="22" t="str">
        <f>J282&amp;(COUNTIF(J$2:J282,J282))</f>
        <v>Essex13</v>
      </c>
      <c r="C282" t="s">
        <v>172</v>
      </c>
      <c r="D282" t="s">
        <v>172</v>
      </c>
      <c r="E282" s="25" t="s">
        <v>368</v>
      </c>
      <c r="F282" s="25" t="s">
        <v>379</v>
      </c>
      <c r="G282" s="25" t="s">
        <v>5</v>
      </c>
      <c r="H282" s="26" t="s">
        <v>888</v>
      </c>
      <c r="I282" s="27" t="s">
        <v>380</v>
      </c>
      <c r="J282" t="s">
        <v>311</v>
      </c>
      <c r="K282" t="s">
        <v>335</v>
      </c>
    </row>
    <row r="283" spans="1:11" ht="14.4">
      <c r="A283" s="22" t="str">
        <f>F283&amp;(COUNTIFS(F$2:F283,F283,K$2:K283,"Sparse"))</f>
        <v>SD40</v>
      </c>
      <c r="B283" s="22" t="str">
        <f>J283&amp;(COUNTIF(J$2:J283,J283))</f>
        <v>Oxfordshire5</v>
      </c>
      <c r="C283" t="s">
        <v>173</v>
      </c>
      <c r="D283" t="s">
        <v>173</v>
      </c>
      <c r="E283" s="25" t="s">
        <v>0</v>
      </c>
      <c r="F283" s="25" t="s">
        <v>379</v>
      </c>
      <c r="G283" s="25" t="s">
        <v>5</v>
      </c>
      <c r="H283" s="26" t="s">
        <v>888</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SD40</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SC8</v>
      </c>
      <c r="B290" s="22" t="str">
        <f>J290&amp;(COUNTIF(J$2:J290,J290))</f>
        <v>Warwickshire6</v>
      </c>
      <c r="C290" t="s">
        <v>330</v>
      </c>
      <c r="D290" t="s">
        <v>330</v>
      </c>
      <c r="E290" s="25" t="s">
        <v>367</v>
      </c>
      <c r="F290" s="25" t="s">
        <v>387</v>
      </c>
      <c r="G290" s="25" t="s">
        <v>301</v>
      </c>
      <c r="H290" s="26" t="s">
        <v>889</v>
      </c>
      <c r="I290" s="27" t="s">
        <v>889</v>
      </c>
      <c r="J290" t="s">
        <v>330</v>
      </c>
    </row>
    <row r="291" spans="1:11" ht="14.4">
      <c r="A291" s="22" t="str">
        <f>F291&amp;(COUNTIFS(F$2:F291,F291,K$2:K291,"Sparse"))</f>
        <v>SD40</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SD40</v>
      </c>
      <c r="B292" s="22" t="str">
        <f>J292&amp;(COUNTIF(J$2:J292,J292))</f>
        <v>Surrey11</v>
      </c>
      <c r="C292" t="s">
        <v>177</v>
      </c>
      <c r="D292" t="s">
        <v>177</v>
      </c>
      <c r="E292" s="25" t="s">
        <v>0</v>
      </c>
      <c r="F292" s="25" t="s">
        <v>379</v>
      </c>
      <c r="G292" s="25" t="s">
        <v>5</v>
      </c>
      <c r="H292" s="26" t="s">
        <v>888</v>
      </c>
      <c r="I292" s="27" t="s">
        <v>380</v>
      </c>
      <c r="J292" t="s">
        <v>329</v>
      </c>
    </row>
    <row r="293" spans="1:11" ht="14.4">
      <c r="A293" s="22" t="str">
        <f>F293&amp;(COUNTIFS(F$2:F293,F293,K$2:K293,"Sparse"))</f>
        <v>SD41</v>
      </c>
      <c r="B293" s="22" t="str">
        <f>J293&amp;(COUNTIF(J$2:J293,J293))</f>
        <v>East Sussex6</v>
      </c>
      <c r="C293" t="s">
        <v>178</v>
      </c>
      <c r="D293" t="s">
        <v>178</v>
      </c>
      <c r="E293" s="25" t="s">
        <v>0</v>
      </c>
      <c r="F293" s="25" t="s">
        <v>379</v>
      </c>
      <c r="G293" s="25" t="s">
        <v>5</v>
      </c>
      <c r="H293" s="26" t="s">
        <v>888</v>
      </c>
      <c r="I293" s="27" t="s">
        <v>380</v>
      </c>
      <c r="J293" t="s">
        <v>310</v>
      </c>
      <c r="K293" t="s">
        <v>335</v>
      </c>
    </row>
    <row r="294" spans="1:11" ht="14.4">
      <c r="A294" s="22" t="str">
        <f>F294&amp;(COUNTIFS(F$2:F294,F294,K$2:K294,"Sparse"))</f>
        <v>SD41</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889</v>
      </c>
      <c r="I295" s="27" t="s">
        <v>889</v>
      </c>
      <c r="J295" t="s">
        <v>394</v>
      </c>
    </row>
    <row r="296" spans="1:11" ht="14.4">
      <c r="A296" s="22" t="str">
        <f>F296&amp;(COUNTIFS(F$2:F296,F296,K$2:K296,"Sparse"))</f>
        <v>SD42</v>
      </c>
      <c r="B296" s="22" t="str">
        <f>J296&amp;(COUNTIF(J$2:J296,J296))</f>
        <v>Devon9</v>
      </c>
      <c r="C296" s="27" t="s">
        <v>181</v>
      </c>
      <c r="D296" s="27" t="s">
        <v>181</v>
      </c>
      <c r="E296" s="25" t="s">
        <v>1</v>
      </c>
      <c r="F296" s="25" t="s">
        <v>379</v>
      </c>
      <c r="G296" s="25" t="s">
        <v>5</v>
      </c>
      <c r="H296" s="27" t="s">
        <v>888</v>
      </c>
      <c r="I296" s="27" t="s">
        <v>380</v>
      </c>
      <c r="J296" t="s">
        <v>308</v>
      </c>
      <c r="K296" t="s">
        <v>335</v>
      </c>
    </row>
    <row r="297" spans="1:11" ht="14.4">
      <c r="A297" s="22" t="str">
        <f>F297&amp;(COUNTIFS(F$2:F297,F297,K$2:K297,"Sparse"))</f>
        <v>SD42</v>
      </c>
      <c r="B297" s="22" t="str">
        <f>J297&amp;(COUNTIF(J$2:J297,J297))</f>
        <v>Lancashire12</v>
      </c>
      <c r="C297" t="s">
        <v>183</v>
      </c>
      <c r="D297" t="s">
        <v>183</v>
      </c>
      <c r="E297" s="25" t="s">
        <v>374</v>
      </c>
      <c r="F297" s="25" t="s">
        <v>379</v>
      </c>
      <c r="G297" s="25" t="s">
        <v>5</v>
      </c>
      <c r="H297" s="26" t="s">
        <v>889</v>
      </c>
      <c r="I297" s="27" t="s">
        <v>889</v>
      </c>
      <c r="J297" t="s">
        <v>316</v>
      </c>
    </row>
    <row r="298" spans="1:11" ht="14.4">
      <c r="A298" s="22" t="str">
        <f>F298&amp;(COUNTIFS(F$2:F298,F298,K$2:K298,"Sparse"))</f>
        <v>SD43</v>
      </c>
      <c r="B298" s="22" t="str">
        <f>J298&amp;(COUNTIF(J$2:J298,J298))</f>
        <v>Lincolnshire8</v>
      </c>
      <c r="C298" t="s">
        <v>184</v>
      </c>
      <c r="D298" t="s">
        <v>184</v>
      </c>
      <c r="E298" s="25" t="s">
        <v>366</v>
      </c>
      <c r="F298" s="25" t="s">
        <v>379</v>
      </c>
      <c r="G298" s="25" t="s">
        <v>5</v>
      </c>
      <c r="H298" s="26" t="s">
        <v>888</v>
      </c>
      <c r="I298" s="27" t="s">
        <v>380</v>
      </c>
      <c r="J298" t="s">
        <v>318</v>
      </c>
      <c r="K298" t="s">
        <v>335</v>
      </c>
    </row>
    <row r="299" spans="1:11" ht="14.4">
      <c r="A299" s="22" t="str">
        <f>F299&amp;(COUNTIFS(F$2:F299,F299,K$2:K299,"Sparse"))</f>
        <v>UA15</v>
      </c>
      <c r="B299" s="22" t="str">
        <f>J299&amp;(COUNTIF(J$2:J299,J299))</f>
        <v>Unitary58</v>
      </c>
      <c r="C299" t="s">
        <v>895</v>
      </c>
      <c r="D299" t="s">
        <v>895</v>
      </c>
      <c r="E299" s="25" t="s">
        <v>366</v>
      </c>
      <c r="F299" s="25" t="s">
        <v>385</v>
      </c>
      <c r="G299" s="25" t="s">
        <v>394</v>
      </c>
      <c r="H299" s="26" t="s">
        <v>889</v>
      </c>
      <c r="I299" s="27" t="s">
        <v>889</v>
      </c>
      <c r="J299" t="s">
        <v>394</v>
      </c>
      <c r="K299" t="s">
        <v>335</v>
      </c>
    </row>
    <row r="300" spans="1:11" ht="14.4">
      <c r="A300" s="22" t="str">
        <f>F300&amp;(COUNTIFS(F$2:F300,F300,K$2:K300,"Sparse"))</f>
        <v>SD44</v>
      </c>
      <c r="B300" s="22" t="str">
        <f>J300&amp;(COUNTIF(J$2:J300,J300))</f>
        <v>Oxfordshire6</v>
      </c>
      <c r="C300" t="s">
        <v>185</v>
      </c>
      <c r="D300" t="s">
        <v>185</v>
      </c>
      <c r="E300" s="25" t="s">
        <v>0</v>
      </c>
      <c r="F300" s="25" t="s">
        <v>379</v>
      </c>
      <c r="G300" s="25" t="s">
        <v>5</v>
      </c>
      <c r="H300" s="26" t="s">
        <v>888</v>
      </c>
      <c r="I300" s="27" t="s">
        <v>380</v>
      </c>
      <c r="J300" t="s">
        <v>324</v>
      </c>
      <c r="K300" t="s">
        <v>335</v>
      </c>
    </row>
    <row r="301" spans="1:11" ht="14.4">
      <c r="A301" s="22" t="str">
        <f>F301&amp;(COUNTIFS(F$2:F301,F301,K$2:K301,"Sparse"))</f>
        <v>SD45</v>
      </c>
      <c r="B301" s="22" t="str">
        <f>J301&amp;(COUNTIF(J$2:J301,J301))</f>
        <v>Suffolk6</v>
      </c>
      <c r="C301" t="s">
        <v>892</v>
      </c>
      <c r="D301" t="s">
        <v>892</v>
      </c>
      <c r="E301" s="25" t="s">
        <v>368</v>
      </c>
      <c r="F301" s="25" t="s">
        <v>379</v>
      </c>
      <c r="G301" s="25" t="s">
        <v>5</v>
      </c>
      <c r="H301" s="26" t="s">
        <v>888</v>
      </c>
      <c r="I301" s="27" t="s">
        <v>380</v>
      </c>
      <c r="J301" t="s">
        <v>328</v>
      </c>
      <c r="K301" t="s">
        <v>335</v>
      </c>
    </row>
    <row r="302" spans="1:11" ht="14.4">
      <c r="A302" s="22" t="str">
        <f>F302&amp;(COUNTIFS(F$2:F302,F302,K$2:K302,"Sparse"))</f>
        <v>SC8</v>
      </c>
      <c r="B302" s="22" t="str">
        <f>J302&amp;(COUNTIF(J$2:J302,J302))</f>
        <v>West Sussex7</v>
      </c>
      <c r="C302" t="s">
        <v>331</v>
      </c>
      <c r="D302" t="s">
        <v>331</v>
      </c>
      <c r="E302" s="25" t="s">
        <v>0</v>
      </c>
      <c r="F302" s="25" t="s">
        <v>387</v>
      </c>
      <c r="G302" s="25" t="s">
        <v>301</v>
      </c>
      <c r="H302" s="26" t="s">
        <v>889</v>
      </c>
      <c r="I302" s="27" t="s">
        <v>889</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888</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888</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889</v>
      </c>
      <c r="I313" s="27" t="s">
        <v>889</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888</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888</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889</v>
      </c>
      <c r="I317" s="27" t="s">
        <v>889</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7" t="s">
        <v>858</v>
      </c>
      <c r="G20" s="327"/>
      <c r="H20" s="180" t="s">
        <v>799</v>
      </c>
      <c r="I20" s="181" t="s">
        <v>791</v>
      </c>
    </row>
    <row r="21" spans="1:11">
      <c r="C21" s="178"/>
      <c r="E21" s="193" t="s">
        <v>849</v>
      </c>
      <c r="F21" s="327"/>
      <c r="G21" s="327"/>
      <c r="H21" s="7" t="s">
        <v>811</v>
      </c>
      <c r="I21" s="9" t="s">
        <v>822</v>
      </c>
    </row>
    <row r="22" spans="1:11" ht="36">
      <c r="C22" s="178"/>
      <c r="E22" s="194" t="s">
        <v>850</v>
      </c>
      <c r="F22" s="327"/>
      <c r="G22" s="327"/>
    </row>
    <row r="23" spans="1:11">
      <c r="C23" s="178"/>
      <c r="E23" s="195">
        <v>87</v>
      </c>
      <c r="F23" s="327"/>
      <c r="G23" s="327"/>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3" ma:contentTypeDescription="Create a new document." ma:contentTypeScope="" ma:versionID="31ef311a7d08401e9010de603b26dff0">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c063b52ea74f7b0e9678b86f37e71b75"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AE7F5702-431A-4005-9430-0C6BC0855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2024-02-13T16:25:24Z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