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110324/"/>
    </mc:Choice>
  </mc:AlternateContent>
  <xr:revisionPtr revIDLastSave="33" documentId="8_{7D198542-C657-4D66-831D-8EFFDFFFDAAC}" xr6:coauthVersionLast="47" xr6:coauthVersionMax="47" xr10:uidLastSave="{A9132E0A-813A-43EF-98C4-39732FE0307C}"/>
  <workbookProtection workbookAlgorithmName="SHA-512" workbookHashValue="/y2GFvzmyZoowcwPlW3f/vaFb2kCu/AKKoJfliCVlgqmgy+UJYRHmFs+xH8rrTz4ZJEJUqXcuZb87I9pX3ZbYw==" workbookSaltValue="ymXc7eZXcbq1Fig6C/XZe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AX182" i="16"/>
  <c r="F182" i="16" s="1"/>
  <c r="AX78" i="16"/>
  <c r="F78" i="16" s="1"/>
  <c r="AX187" i="16"/>
  <c r="F187" i="16" s="1"/>
  <c r="AX62" i="16"/>
  <c r="F62" i="16" s="1"/>
  <c r="AX157" i="16"/>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F157" i="16"/>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2" i="16"/>
  <c r="F137"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62" i="16"/>
  <c r="F129" i="16"/>
  <c r="F200"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F143" i="16" l="1"/>
  <c r="H161" i="16"/>
  <c r="H272" i="16"/>
  <c r="H31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L35" i="8"/>
  <c r="H44" i="16"/>
  <c r="H56" i="16"/>
  <c r="F48" i="16"/>
  <c r="F46" i="16"/>
  <c r="F14" i="16"/>
  <c r="H16" i="16"/>
  <c r="H23" i="16"/>
  <c r="AG11" i="16"/>
  <c r="H13" i="16"/>
  <c r="F34" i="16"/>
  <c r="H21" i="16"/>
  <c r="F32" i="16"/>
  <c r="H32" i="16"/>
  <c r="F41" i="16"/>
  <c r="H57" i="16"/>
  <c r="H50" i="16"/>
  <c r="H17" i="16"/>
  <c r="H38" i="16"/>
  <c r="H47" i="16"/>
  <c r="H24" i="16"/>
  <c r="H15" i="16"/>
  <c r="F53" i="16"/>
  <c r="H39" i="16"/>
  <c r="K89" i="8"/>
  <c r="B39" i="8"/>
  <c r="I74" i="16" l="1"/>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M12" i="16"/>
  <c r="N12" i="16" s="1"/>
  <c r="X12" i="16"/>
  <c r="AI12" i="16"/>
  <c r="T12" i="16"/>
  <c r="K15" i="16"/>
  <c r="L14" i="16"/>
  <c r="S13" i="16"/>
  <c r="T13" i="16"/>
  <c r="AI13" i="16"/>
  <c r="X13" i="16"/>
  <c r="M13" i="16"/>
  <c r="N13" i="16" s="1"/>
  <c r="AA13" i="16"/>
  <c r="AP13" i="16"/>
  <c r="X11" i="16"/>
  <c r="E66" i="8"/>
  <c r="Y66" i="8" s="1"/>
  <c r="T11" i="16"/>
  <c r="AI11" i="16"/>
  <c r="S11" i="16"/>
  <c r="AP11" i="16"/>
  <c r="M11" i="16"/>
  <c r="U66" i="8" s="1"/>
  <c r="U12" i="16" l="1"/>
  <c r="AJ12" i="16"/>
  <c r="Y12" i="16"/>
  <c r="AB12" i="16"/>
  <c r="AQ12" i="16"/>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AJ22" i="16" s="1"/>
  <c r="AK22" i="16" s="1"/>
  <c r="X22" i="16"/>
  <c r="M22" i="16"/>
  <c r="N22" i="16" s="1"/>
  <c r="AP22" i="16"/>
  <c r="AA22" i="16"/>
  <c r="K24" i="16"/>
  <c r="L23" i="16"/>
  <c r="Y22" i="16" l="1"/>
  <c r="AB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P32" i="16"/>
  <c r="X32" i="16"/>
  <c r="AA32" i="16"/>
  <c r="AJ32" i="16" l="1"/>
  <c r="AB32" i="16"/>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P37" i="16"/>
  <c r="AJ36" i="16"/>
  <c r="AJ37" i="16" l="1"/>
  <c r="AB37" i="16"/>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P39" i="16"/>
  <c r="X39" i="16"/>
  <c r="AA39" i="16"/>
  <c r="AJ39" i="16" l="1"/>
  <c r="U39" i="16"/>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P47" i="16"/>
  <c r="L48" i="16"/>
  <c r="K49" i="16"/>
  <c r="AJ47" i="16" l="1"/>
  <c r="AB47" i="16"/>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X49" i="16"/>
  <c r="L50" i="16"/>
  <c r="K51" i="16"/>
  <c r="AJ49" i="16" l="1"/>
  <c r="AQ49" i="16"/>
  <c r="AB49" i="16"/>
  <c r="U49" i="16"/>
  <c r="Y49" i="16"/>
  <c r="L51" i="16"/>
  <c r="K52" i="16"/>
  <c r="AA50" i="16"/>
  <c r="AI50" i="16"/>
  <c r="AJ50" i="16" s="1"/>
  <c r="AK50" i="16" s="1"/>
  <c r="S50" i="16"/>
  <c r="AP50" i="16"/>
  <c r="M50" i="16"/>
  <c r="N50" i="16" s="1"/>
  <c r="X50" i="16"/>
  <c r="T50" i="16"/>
  <c r="AQ50" i="16" l="1"/>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M57" i="16"/>
  <c r="N57" i="16" s="1"/>
  <c r="AA57" i="16"/>
  <c r="X57" i="16"/>
  <c r="Y56" i="16"/>
  <c r="AB56" i="16"/>
  <c r="AJ57" i="16" l="1"/>
  <c r="AQ58" i="16"/>
  <c r="AJ58" i="16"/>
  <c r="U58" i="16"/>
  <c r="AB58" i="16"/>
  <c r="Y58" i="16"/>
  <c r="L60" i="16"/>
  <c r="K61" i="16"/>
  <c r="S59" i="16"/>
  <c r="T59" i="16"/>
  <c r="AI59" i="16"/>
  <c r="X59" i="16"/>
  <c r="M59" i="16"/>
  <c r="N59" i="16" s="1"/>
  <c r="AP59" i="16"/>
  <c r="AA59" i="16"/>
  <c r="Y57" i="16"/>
  <c r="AB57" i="16"/>
  <c r="AQ57" i="16"/>
  <c r="U57" i="16"/>
  <c r="Y59" i="16" l="1"/>
  <c r="AB59" i="16"/>
  <c r="AQ59" i="16"/>
  <c r="AJ59" i="16"/>
  <c r="U59" i="16"/>
  <c r="L61" i="16"/>
  <c r="K62" i="16"/>
  <c r="M60" i="16"/>
  <c r="N60" i="16" s="1"/>
  <c r="AA60" i="16"/>
  <c r="AP60" i="16"/>
  <c r="S60" i="16"/>
  <c r="T60" i="16"/>
  <c r="AI60" i="16"/>
  <c r="X60" i="16"/>
  <c r="U60" i="16" l="1"/>
  <c r="AJ60" i="16"/>
  <c r="Y60" i="16"/>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A63" i="16"/>
  <c r="AJ63" i="16" l="1"/>
  <c r="AQ63" i="16"/>
  <c r="Y63" i="16"/>
  <c r="U63" i="16"/>
  <c r="L65" i="16"/>
  <c r="K66" i="16"/>
  <c r="T64" i="16"/>
  <c r="AI64" i="16"/>
  <c r="AJ64" i="16" s="1"/>
  <c r="AK64" i="16" s="1"/>
  <c r="X64" i="16"/>
  <c r="M64" i="16"/>
  <c r="N64" i="16" s="1"/>
  <c r="AP64" i="16"/>
  <c r="S64" i="16"/>
  <c r="AA64" i="16"/>
  <c r="AB63" i="16"/>
  <c r="AQ64" i="16" l="1"/>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A66" i="16"/>
  <c r="X66" i="16"/>
  <c r="AB65" i="16"/>
  <c r="AJ66" i="16" l="1"/>
  <c r="Y66" i="16"/>
  <c r="U66" i="16"/>
  <c r="AB66" i="16"/>
  <c r="AQ66" i="16"/>
  <c r="L68" i="16"/>
  <c r="K69" i="16"/>
  <c r="T67" i="16"/>
  <c r="AI67" i="16"/>
  <c r="AJ67" i="16" s="1"/>
  <c r="X67" i="16"/>
  <c r="M67" i="16"/>
  <c r="N67" i="16" s="1"/>
  <c r="AP67" i="16"/>
  <c r="S67" i="16"/>
  <c r="AA67" i="16"/>
  <c r="AQ67" i="16" l="1"/>
  <c r="U67" i="16"/>
  <c r="Y67" i="16"/>
  <c r="L69" i="16"/>
  <c r="K70" i="16"/>
  <c r="S68" i="16"/>
  <c r="T68" i="16"/>
  <c r="AI68" i="16"/>
  <c r="AJ68" i="16" s="1"/>
  <c r="AK68" i="16" s="1"/>
  <c r="X68" i="16"/>
  <c r="M68" i="16"/>
  <c r="N68" i="16" s="1"/>
  <c r="AP68" i="16"/>
  <c r="AA68" i="16"/>
  <c r="AB67" i="16"/>
  <c r="AQ68" i="16" l="1"/>
  <c r="Y68" i="16"/>
  <c r="U68" i="16"/>
  <c r="AB68" i="16"/>
  <c r="K71" i="16"/>
  <c r="L70" i="16"/>
  <c r="M69" i="16"/>
  <c r="N69" i="16" s="1"/>
  <c r="AP69" i="16"/>
  <c r="S69" i="16"/>
  <c r="T69" i="16"/>
  <c r="AA69" i="16"/>
  <c r="AI69" i="16"/>
  <c r="X69" i="16"/>
  <c r="AJ69" i="16" l="1"/>
  <c r="AQ69" i="16"/>
  <c r="Y69" i="16"/>
  <c r="U69" i="16"/>
  <c r="AB69" i="16"/>
  <c r="T70" i="16"/>
  <c r="AI70" i="16"/>
  <c r="AJ70" i="16" s="1"/>
  <c r="AK70" i="16" s="1"/>
  <c r="X70" i="16"/>
  <c r="M70" i="16"/>
  <c r="N70" i="16" s="1"/>
  <c r="AP70" i="16"/>
  <c r="AA70" i="16"/>
  <c r="S70" i="16"/>
  <c r="L71" i="16"/>
  <c r="K72" i="16"/>
  <c r="AB70" i="16" l="1"/>
  <c r="Y70" i="16"/>
  <c r="U70" i="16"/>
  <c r="AQ70" i="16"/>
  <c r="L72" i="16"/>
  <c r="K73" i="16"/>
  <c r="AI71" i="16"/>
  <c r="AA71" i="16"/>
  <c r="T71" i="16"/>
  <c r="AP71" i="16"/>
  <c r="M71" i="16"/>
  <c r="N71" i="16" s="1"/>
  <c r="S71" i="16"/>
  <c r="X71" i="16"/>
  <c r="AJ71" i="16" l="1"/>
  <c r="AQ71" i="16"/>
  <c r="U71" i="16"/>
  <c r="AB71" i="16"/>
  <c r="K74" i="16"/>
  <c r="L73" i="16"/>
  <c r="M72" i="16"/>
  <c r="N72" i="16" s="1"/>
  <c r="T72" i="16"/>
  <c r="AP72" i="16"/>
  <c r="X72" i="16"/>
  <c r="AI72" i="16"/>
  <c r="AJ72" i="16" s="1"/>
  <c r="S72" i="16"/>
  <c r="AA72" i="16"/>
  <c r="Y71" i="16"/>
  <c r="Y72" i="16" l="1"/>
  <c r="AB72" i="16"/>
  <c r="U72" i="16"/>
  <c r="AQ72" i="16"/>
  <c r="T73" i="16"/>
  <c r="AI73" i="16"/>
  <c r="M73" i="16"/>
  <c r="N73" i="16" s="1"/>
  <c r="S73" i="16"/>
  <c r="X73" i="16"/>
  <c r="AA73" i="16"/>
  <c r="AP73" i="16"/>
  <c r="L74" i="16"/>
  <c r="K75" i="16"/>
  <c r="AJ73" i="16" l="1"/>
  <c r="U73" i="16"/>
  <c r="AQ73" i="16"/>
  <c r="AB73" i="16"/>
  <c r="Y73" i="16"/>
  <c r="L75" i="16"/>
  <c r="K76" i="16"/>
  <c r="AI74" i="16"/>
  <c r="S74" i="16"/>
  <c r="T74" i="16"/>
  <c r="X74" i="16"/>
  <c r="AP74" i="16"/>
  <c r="M74" i="16"/>
  <c r="N74" i="16" s="1"/>
  <c r="AA74" i="16"/>
  <c r="AJ74" i="16" l="1"/>
  <c r="AQ74" i="16"/>
  <c r="AB74" i="16"/>
  <c r="Y74" i="16"/>
  <c r="U74" i="16"/>
  <c r="K77" i="16"/>
  <c r="L76" i="16"/>
  <c r="M75" i="16"/>
  <c r="N75" i="16" s="1"/>
  <c r="T75" i="16"/>
  <c r="AI75" i="16"/>
  <c r="AJ75" i="16" s="1"/>
  <c r="AK75" i="16" s="1"/>
  <c r="S75" i="16"/>
  <c r="X75" i="16"/>
  <c r="AA75" i="16"/>
  <c r="AP75" i="16"/>
  <c r="AQ75" i="16" l="1"/>
  <c r="AB75" i="16"/>
  <c r="Y75" i="16"/>
  <c r="U75" i="16"/>
  <c r="T76" i="16"/>
  <c r="AI76" i="16"/>
  <c r="AJ76" i="16" s="1"/>
  <c r="AK76" i="16" s="1"/>
  <c r="M76" i="16"/>
  <c r="N76" i="16" s="1"/>
  <c r="AA76" i="16"/>
  <c r="AP76" i="16"/>
  <c r="S76" i="16"/>
  <c r="X76" i="16"/>
  <c r="L77" i="16"/>
  <c r="K78" i="16"/>
  <c r="Y76" i="16" l="1"/>
  <c r="AQ76" i="16"/>
  <c r="AB76" i="16"/>
  <c r="U76" i="16"/>
  <c r="L78" i="16"/>
  <c r="K79" i="16"/>
  <c r="AI77" i="16"/>
  <c r="S77" i="16"/>
  <c r="T77" i="16"/>
  <c r="M77" i="16"/>
  <c r="N77" i="16" s="1"/>
  <c r="AP77" i="16"/>
  <c r="X77" i="16"/>
  <c r="AA77" i="16"/>
  <c r="AJ77" i="16" l="1"/>
  <c r="AQ77" i="16"/>
  <c r="L79" i="16"/>
  <c r="K80" i="16"/>
  <c r="T78" i="16"/>
  <c r="AP78" i="16"/>
  <c r="AA78" i="16"/>
  <c r="M78" i="16"/>
  <c r="N78" i="16" s="1"/>
  <c r="S78" i="16"/>
  <c r="X78" i="16"/>
  <c r="AI78" i="16"/>
  <c r="AJ78" i="16" s="1"/>
  <c r="Y77" i="16"/>
  <c r="AB77" i="16"/>
  <c r="U77" i="16"/>
  <c r="AK21" i="16"/>
  <c r="AK14" i="16"/>
  <c r="AK54" i="16"/>
  <c r="AK38" i="16"/>
  <c r="AC11" i="16"/>
  <c r="Z11" i="16"/>
  <c r="V11" i="16"/>
  <c r="AK30" i="16"/>
  <c r="AQ78" i="16" l="1"/>
  <c r="U78" i="16"/>
  <c r="Y78" i="16"/>
  <c r="AB78" i="16"/>
  <c r="L80" i="16"/>
  <c r="K81" i="16"/>
  <c r="T79" i="16"/>
  <c r="M79" i="16"/>
  <c r="N79" i="16" s="1"/>
  <c r="AI79" i="16"/>
  <c r="S79" i="16"/>
  <c r="X79" i="16"/>
  <c r="Y79" i="16" s="1"/>
  <c r="Z79" i="16" s="1"/>
  <c r="AA79" i="16"/>
  <c r="AB79" i="16" s="1"/>
  <c r="AC79" i="16" s="1"/>
  <c r="AP79" i="16"/>
  <c r="AK52" i="16"/>
  <c r="AK18" i="16"/>
  <c r="AK43" i="16"/>
  <c r="Z15" i="16"/>
  <c r="AC15" i="16"/>
  <c r="V20" i="16"/>
  <c r="Z18" i="16"/>
  <c r="AC18" i="16"/>
  <c r="V18" i="16"/>
  <c r="AK11" i="16"/>
  <c r="AK26" i="16"/>
  <c r="Z23" i="16"/>
  <c r="AK23" i="16"/>
  <c r="AC23" i="16"/>
  <c r="V23" i="16"/>
  <c r="AK20" i="16"/>
  <c r="U79" i="16" l="1"/>
  <c r="AJ79" i="16"/>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L83" i="16"/>
  <c r="K84" i="16"/>
  <c r="AJ82" i="16" l="1"/>
  <c r="AQ82" i="16"/>
  <c r="Y82" i="16"/>
  <c r="U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J84" i="16" l="1"/>
  <c r="AQ84" i="16"/>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S87" i="16"/>
  <c r="T87" i="16"/>
  <c r="U86" i="16"/>
  <c r="AB86" i="16"/>
  <c r="Y86" i="16"/>
  <c r="AJ87" i="16" l="1"/>
  <c r="AQ87" i="16"/>
  <c r="AB87" i="16"/>
  <c r="Y87" i="16"/>
  <c r="U87" i="16"/>
  <c r="N87" i="16"/>
  <c r="K90" i="16"/>
  <c r="L89" i="16"/>
  <c r="S88" i="16"/>
  <c r="T88" i="16"/>
  <c r="AI88" i="16"/>
  <c r="X88" i="16"/>
  <c r="AA88" i="16"/>
  <c r="AP88" i="16"/>
  <c r="M88" i="16"/>
  <c r="N88" i="16" s="1"/>
  <c r="AJ88" i="16" l="1"/>
  <c r="AQ88" i="16"/>
  <c r="Y88" i="16"/>
  <c r="AB88" i="16"/>
  <c r="U88" i="16"/>
  <c r="AP89" i="16"/>
  <c r="S89" i="16"/>
  <c r="T89" i="16"/>
  <c r="AI89" i="16"/>
  <c r="X89" i="16"/>
  <c r="M89" i="16"/>
  <c r="N89" i="16" s="1"/>
  <c r="AA89" i="16"/>
  <c r="K91" i="16"/>
  <c r="L90" i="16"/>
  <c r="AJ89" i="16" l="1"/>
  <c r="AQ89" i="16"/>
  <c r="U89" i="16"/>
  <c r="X90" i="16"/>
  <c r="S90" i="16"/>
  <c r="T90" i="16"/>
  <c r="AI90" i="16"/>
  <c r="M90" i="16"/>
  <c r="N90" i="16" s="1"/>
  <c r="AA90" i="16"/>
  <c r="AP90" i="16"/>
  <c r="K92" i="16"/>
  <c r="L91" i="16"/>
  <c r="AB89" i="16"/>
  <c r="Y89" i="16"/>
  <c r="AJ90" i="16" l="1"/>
  <c r="AQ90" i="16"/>
  <c r="AB90" i="16"/>
  <c r="U90" i="16"/>
  <c r="Y90" i="16"/>
  <c r="K93" i="16"/>
  <c r="L92" i="16"/>
  <c r="S91" i="16"/>
  <c r="T91" i="16"/>
  <c r="AI91" i="16"/>
  <c r="AJ91" i="16" s="1"/>
  <c r="AK91" i="16" s="1"/>
  <c r="AA91" i="16"/>
  <c r="AP91" i="16"/>
  <c r="X91" i="16"/>
  <c r="M91" i="16"/>
  <c r="N91" i="16" s="1"/>
  <c r="AQ91" i="16" l="1"/>
  <c r="AB91" i="16"/>
  <c r="U91" i="16"/>
  <c r="AP92" i="16"/>
  <c r="T92" i="16"/>
  <c r="AI92" i="16"/>
  <c r="M92" i="16"/>
  <c r="N92" i="16" s="1"/>
  <c r="X92" i="16"/>
  <c r="AA92" i="16"/>
  <c r="S92" i="16"/>
  <c r="L93" i="16"/>
  <c r="K94" i="16"/>
  <c r="Y91" i="16"/>
  <c r="AJ92" i="16" l="1"/>
  <c r="U92" i="16"/>
  <c r="AQ92" i="16"/>
  <c r="AB92" i="16"/>
  <c r="Y92" i="16"/>
  <c r="L94" i="16"/>
  <c r="K95" i="16"/>
  <c r="X93" i="16"/>
  <c r="S93" i="16"/>
  <c r="AP93" i="16"/>
  <c r="AA93" i="16"/>
  <c r="M93" i="16"/>
  <c r="N93" i="16" s="1"/>
  <c r="AI93" i="16"/>
  <c r="T93" i="16"/>
  <c r="AJ93" i="16" l="1"/>
  <c r="AQ93" i="16"/>
  <c r="AB93" i="16"/>
  <c r="Y93" i="16"/>
  <c r="K96" i="16"/>
  <c r="L95" i="16"/>
  <c r="S94" i="16"/>
  <c r="M94" i="16"/>
  <c r="N94" i="16" s="1"/>
  <c r="AA94" i="16"/>
  <c r="AP94" i="16"/>
  <c r="AI94" i="16"/>
  <c r="T94" i="16"/>
  <c r="X94" i="16"/>
  <c r="U93" i="16"/>
  <c r="AJ94" i="16" l="1"/>
  <c r="U94" i="16"/>
  <c r="AQ94" i="16"/>
  <c r="AB94" i="16"/>
  <c r="AP95" i="16"/>
  <c r="X95" i="16"/>
  <c r="M95" i="16"/>
  <c r="N95" i="16" s="1"/>
  <c r="AI95" i="16"/>
  <c r="AJ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P99" i="16"/>
  <c r="S99" i="16"/>
  <c r="K101" i="16"/>
  <c r="L100" i="16"/>
  <c r="AJ99" i="16" l="1"/>
  <c r="AQ99" i="16"/>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P101" i="16"/>
  <c r="M101" i="16"/>
  <c r="N101" i="16" s="1"/>
  <c r="S101" i="16"/>
  <c r="X101" i="16"/>
  <c r="AJ101" i="16" l="1"/>
  <c r="AQ101" i="16"/>
  <c r="U101" i="16"/>
  <c r="AB101" i="16"/>
  <c r="Y101" i="16"/>
  <c r="T102" i="16"/>
  <c r="X102" i="16"/>
  <c r="M102" i="16"/>
  <c r="N102" i="16" s="1"/>
  <c r="AA102" i="16"/>
  <c r="AI102" i="16"/>
  <c r="AJ102" i="16" s="1"/>
  <c r="AK102" i="16" s="1"/>
  <c r="AP102" i="16"/>
  <c r="S102" i="16"/>
  <c r="L103" i="16"/>
  <c r="K104" i="16"/>
  <c r="AQ102" i="16" l="1"/>
  <c r="AB102" i="16"/>
  <c r="Y102" i="16"/>
  <c r="U102" i="16"/>
  <c r="L104" i="16"/>
  <c r="K105" i="16"/>
  <c r="T103" i="16"/>
  <c r="AI103" i="16"/>
  <c r="X103" i="16"/>
  <c r="M103" i="16"/>
  <c r="N103" i="16" s="1"/>
  <c r="AA103" i="16"/>
  <c r="AP103" i="16"/>
  <c r="S103" i="16"/>
  <c r="AJ103" i="16" l="1"/>
  <c r="AQ103" i="16"/>
  <c r="AB103" i="16"/>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A111" i="16"/>
  <c r="AP111" i="16"/>
  <c r="M111" i="16"/>
  <c r="N111" i="16" s="1"/>
  <c r="S111" i="16"/>
  <c r="X111" i="16"/>
  <c r="AJ111" i="16" l="1"/>
  <c r="AQ111" i="16"/>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M115" i="16"/>
  <c r="N115" i="16" s="1"/>
  <c r="AP115" i="16"/>
  <c r="AJ115" i="16" l="1"/>
  <c r="U115" i="16"/>
  <c r="AQ115" i="16"/>
  <c r="AB115" i="16"/>
  <c r="Y115" i="16"/>
  <c r="M116" i="16"/>
  <c r="N116" i="16" s="1"/>
  <c r="AA116" i="16"/>
  <c r="AP116" i="16"/>
  <c r="T116" i="16"/>
  <c r="AI116" i="16"/>
  <c r="X116" i="16"/>
  <c r="S116" i="16"/>
  <c r="L117" i="16"/>
  <c r="K118" i="16"/>
  <c r="AJ116" i="16" l="1"/>
  <c r="AQ116" i="16"/>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X121" i="16"/>
  <c r="S121" i="16"/>
  <c r="AP121" i="16"/>
  <c r="AA121" i="16"/>
  <c r="M121" i="16"/>
  <c r="N121" i="16" s="1"/>
  <c r="T121" i="16"/>
  <c r="AJ121" i="16" l="1"/>
  <c r="AQ121" i="16"/>
  <c r="AB121" i="16"/>
  <c r="Y121" i="16"/>
  <c r="U121" i="16"/>
  <c r="S122" i="16"/>
  <c r="M122" i="16"/>
  <c r="N122" i="16" s="1"/>
  <c r="AP122" i="16"/>
  <c r="AI122" i="16"/>
  <c r="AJ122" i="16" s="1"/>
  <c r="AK122" i="16" s="1"/>
  <c r="T122" i="16"/>
  <c r="X122" i="16"/>
  <c r="Y122" i="16" s="1"/>
  <c r="Z122" i="16" s="1"/>
  <c r="AA122" i="16"/>
  <c r="AB122" i="16" s="1"/>
  <c r="AC122" i="16" s="1"/>
  <c r="K124" i="16"/>
  <c r="L123" i="16"/>
  <c r="U122" i="16" l="1"/>
  <c r="AQ122" i="16"/>
  <c r="M123" i="16"/>
  <c r="N123" i="16" s="1"/>
  <c r="AP123" i="16"/>
  <c r="AI123" i="16"/>
  <c r="X123" i="16"/>
  <c r="S123" i="16"/>
  <c r="T123" i="16"/>
  <c r="AA123" i="16"/>
  <c r="K125" i="16"/>
  <c r="L124" i="16"/>
  <c r="AB123" i="16" l="1"/>
  <c r="U123" i="16"/>
  <c r="AJ123" i="16"/>
  <c r="AQ123" i="16"/>
  <c r="Y123" i="16"/>
  <c r="AI124" i="16"/>
  <c r="X124" i="16"/>
  <c r="S124" i="16"/>
  <c r="AP124" i="16"/>
  <c r="AA124" i="16"/>
  <c r="M124" i="16"/>
  <c r="N124" i="16" s="1"/>
  <c r="T124" i="16"/>
  <c r="K126" i="16"/>
  <c r="L125" i="16"/>
  <c r="AJ124" i="16" l="1"/>
  <c r="AK123" i="16"/>
  <c r="AQ124" i="16"/>
  <c r="AB124" i="16"/>
  <c r="Y124" i="16"/>
  <c r="S125" i="16"/>
  <c r="M125" i="16"/>
  <c r="N125" i="16" s="1"/>
  <c r="AP125" i="16"/>
  <c r="T125" i="16"/>
  <c r="X125" i="16"/>
  <c r="AA125" i="16"/>
  <c r="AI125" i="16"/>
  <c r="K127" i="16"/>
  <c r="L126" i="16"/>
  <c r="U124" i="16"/>
  <c r="AJ125" i="16" l="1"/>
  <c r="U125" i="16"/>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T130" i="16"/>
  <c r="AA130" i="16"/>
  <c r="K132" i="16"/>
  <c r="L131" i="16"/>
  <c r="AB130" i="16" l="1"/>
  <c r="AQ130" i="16"/>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T136" i="16"/>
  <c r="AA136" i="16"/>
  <c r="K138" i="16"/>
  <c r="L137" i="16"/>
  <c r="AJ136" i="16" l="1"/>
  <c r="U136" i="16"/>
  <c r="AQ136" i="16"/>
  <c r="Y136" i="16"/>
  <c r="AB136" i="16"/>
  <c r="M137" i="16"/>
  <c r="N137" i="16" s="1"/>
  <c r="AP137" i="16"/>
  <c r="S137" i="16"/>
  <c r="AI137" i="16"/>
  <c r="AJ137" i="16" s="1"/>
  <c r="AK137" i="16" s="1"/>
  <c r="X137" i="16"/>
  <c r="T137" i="16"/>
  <c r="AA137" i="16"/>
  <c r="K139" i="16"/>
  <c r="L138" i="16"/>
  <c r="AQ137" i="16" l="1"/>
  <c r="Y137" i="16"/>
  <c r="U137" i="16"/>
  <c r="AB137" i="16"/>
  <c r="AI138" i="16"/>
  <c r="AJ138" i="16" s="1"/>
  <c r="AK138" i="16" s="1"/>
  <c r="X138" i="16"/>
  <c r="AP138" i="16"/>
  <c r="S138" i="16"/>
  <c r="AA138" i="16"/>
  <c r="M138" i="16"/>
  <c r="N138" i="16" s="1"/>
  <c r="T138" i="16"/>
  <c r="U138" i="16" s="1"/>
  <c r="V138" i="16" s="1"/>
  <c r="K140" i="16"/>
  <c r="L139" i="16"/>
  <c r="AQ138" i="16" l="1"/>
  <c r="Y138" i="16"/>
  <c r="AB138" i="16"/>
  <c r="S139" i="16"/>
  <c r="X139" i="16"/>
  <c r="M139" i="16"/>
  <c r="N139" i="16" s="1"/>
  <c r="AP139" i="16"/>
  <c r="AA139" i="16"/>
  <c r="AI139" i="16"/>
  <c r="T139" i="16"/>
  <c r="K141" i="16"/>
  <c r="L140" i="16"/>
  <c r="AJ139" i="16" l="1"/>
  <c r="AQ139" i="16"/>
  <c r="Y139" i="16"/>
  <c r="U139" i="16"/>
  <c r="AB139" i="16"/>
  <c r="AP140" i="16"/>
  <c r="S140" i="16"/>
  <c r="AI140" i="16"/>
  <c r="X140" i="16"/>
  <c r="M140" i="16"/>
  <c r="N140" i="16" s="1"/>
  <c r="T140" i="16"/>
  <c r="AA140" i="16"/>
  <c r="K142" i="16"/>
  <c r="L141" i="16"/>
  <c r="AJ140" i="16" l="1"/>
  <c r="AQ140" i="16"/>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K144" i="16"/>
  <c r="L143" i="16"/>
  <c r="U142" i="16" l="1"/>
  <c r="AB142" i="16"/>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A146" i="16"/>
  <c r="M146" i="16"/>
  <c r="N146" i="16" s="1"/>
  <c r="AP146" i="16"/>
  <c r="T146" i="16"/>
  <c r="AJ146" i="16" l="1"/>
  <c r="AQ146" i="16"/>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S151" i="16"/>
  <c r="T151" i="16"/>
  <c r="AI151" i="16"/>
  <c r="L152" i="16"/>
  <c r="K153" i="16"/>
  <c r="AJ151" i="16" l="1"/>
  <c r="AQ151" i="16"/>
  <c r="Y151" i="16"/>
  <c r="AB151" i="16"/>
  <c r="U151" i="16"/>
  <c r="K154" i="16"/>
  <c r="L153" i="16"/>
  <c r="X152" i="16"/>
  <c r="M152" i="16"/>
  <c r="N152" i="16" s="1"/>
  <c r="S152" i="16"/>
  <c r="T152" i="16"/>
  <c r="AI152" i="16"/>
  <c r="AJ152" i="16" s="1"/>
  <c r="AK152" i="16" s="1"/>
  <c r="AP152" i="16"/>
  <c r="AA152" i="16"/>
  <c r="AQ152" i="16" l="1"/>
  <c r="AB152" i="16"/>
  <c r="Y152" i="16"/>
  <c r="U152" i="16"/>
  <c r="L154" i="16"/>
  <c r="K155" i="16"/>
  <c r="AI153" i="16"/>
  <c r="AP153" i="16"/>
  <c r="M153" i="16"/>
  <c r="N153" i="16" s="1"/>
  <c r="S153" i="16"/>
  <c r="T153" i="16"/>
  <c r="U153" i="16" s="1"/>
  <c r="X153" i="16"/>
  <c r="AA153" i="16"/>
  <c r="AB153" i="16" l="1"/>
  <c r="Y153" i="16"/>
  <c r="AJ153" i="16"/>
  <c r="AQ153" i="16"/>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AP157" i="16"/>
  <c r="AA157" i="16"/>
  <c r="U157" i="16" l="1"/>
  <c r="AQ157" i="16"/>
  <c r="AB157" i="16"/>
  <c r="Y157" i="16"/>
  <c r="M158" i="16"/>
  <c r="N158" i="16" s="1"/>
  <c r="S158" i="16"/>
  <c r="T158" i="16"/>
  <c r="AI158" i="16"/>
  <c r="X158" i="16"/>
  <c r="AP158" i="16"/>
  <c r="AA158" i="16"/>
  <c r="K160" i="16"/>
  <c r="L159" i="16"/>
  <c r="AJ158" i="16" l="1"/>
  <c r="AQ158" i="16"/>
  <c r="U158" i="16"/>
  <c r="AB158" i="16"/>
  <c r="Y158" i="16"/>
  <c r="AI159" i="16"/>
  <c r="AP159" i="16"/>
  <c r="S159" i="16"/>
  <c r="X159" i="16"/>
  <c r="AA159" i="16"/>
  <c r="M159" i="16"/>
  <c r="N159" i="16" s="1"/>
  <c r="T159" i="16"/>
  <c r="L160" i="16"/>
  <c r="K161" i="16"/>
  <c r="AJ159" i="16" l="1"/>
  <c r="AQ159" i="16"/>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X161" i="16"/>
  <c r="AP161" i="16"/>
  <c r="Y160" i="16"/>
  <c r="AB160" i="16"/>
  <c r="AJ161" i="16" l="1"/>
  <c r="AQ161" i="16"/>
  <c r="U161" i="16"/>
  <c r="Y161" i="16"/>
  <c r="AB161" i="16"/>
  <c r="AP162" i="16"/>
  <c r="AA162" i="16"/>
  <c r="M162" i="16"/>
  <c r="N162" i="16" s="1"/>
  <c r="T162" i="16"/>
  <c r="X162" i="16"/>
  <c r="S162" i="16"/>
  <c r="AI162" i="16"/>
  <c r="AJ162" i="16" s="1"/>
  <c r="AK162" i="16" s="1"/>
  <c r="L163" i="16"/>
  <c r="K164" i="16"/>
  <c r="AQ162" i="16" l="1"/>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S165" i="16"/>
  <c r="L166" i="16"/>
  <c r="K167" i="16"/>
  <c r="AJ165" i="16" l="1"/>
  <c r="AQ165" i="16"/>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N327" i="16"/>
  <c r="AP327" i="16"/>
  <c r="AQ327" i="16" s="1"/>
  <c r="AA327" i="16"/>
  <c r="AB327" i="16" s="1"/>
  <c r="AK15" i="16" l="1"/>
  <c r="AK92" i="16"/>
  <c r="AK124" i="16"/>
  <c r="AK125" i="16"/>
  <c r="AK66" i="16"/>
  <c r="AK90" i="16"/>
  <c r="AK159" i="16"/>
  <c r="V60" i="16"/>
  <c r="V43" i="16"/>
  <c r="AK116" i="16"/>
  <c r="AK136" i="16"/>
  <c r="AR137" i="16"/>
  <c r="AR50" i="16"/>
  <c r="AK31" i="16"/>
  <c r="AK84" i="16"/>
  <c r="AK99" i="16"/>
  <c r="AK47" i="16"/>
  <c r="AK63" i="16"/>
  <c r="AK77" i="16"/>
  <c r="Z17" i="16"/>
  <c r="Z30" i="16"/>
  <c r="AC17" i="16"/>
  <c r="AC30" i="16"/>
  <c r="AK40" i="16"/>
  <c r="AK94" i="16"/>
  <c r="AK119" i="16"/>
  <c r="AK37" i="16"/>
  <c r="AK49" i="16"/>
  <c r="AK82" i="16"/>
  <c r="AK87" i="16"/>
  <c r="AK51" i="16"/>
  <c r="AK17" i="16"/>
  <c r="AK151" i="16"/>
  <c r="V142" i="16"/>
  <c r="V79" i="16"/>
  <c r="AK73" i="16"/>
  <c r="AK74" i="16"/>
  <c r="AK53" i="16"/>
  <c r="AK29" i="16"/>
  <c r="AK158" i="16"/>
  <c r="AR152" i="16"/>
  <c r="AR156" i="16"/>
  <c r="AK32" i="16"/>
  <c r="AK39" i="16"/>
  <c r="AK57" i="16"/>
  <c r="Z14" i="16"/>
  <c r="Z12" i="16"/>
  <c r="Z59" i="16"/>
  <c r="Z70" i="16"/>
  <c r="Z21" i="16"/>
  <c r="V12" i="16"/>
  <c r="V73" i="16"/>
  <c r="V15" i="16"/>
  <c r="V37" i="16"/>
  <c r="V21" i="16"/>
  <c r="V157" i="16"/>
  <c r="AK12" i="16"/>
  <c r="AK103" i="16"/>
  <c r="AK146" i="16"/>
  <c r="AK165" i="16"/>
  <c r="AC12" i="16"/>
  <c r="AC59" i="16"/>
  <c r="AC70" i="16"/>
  <c r="AC21" i="16"/>
  <c r="V70" i="16"/>
  <c r="V14" i="16"/>
  <c r="V30" i="16"/>
  <c r="V92" i="16"/>
  <c r="V115" i="16"/>
  <c r="V116" i="16"/>
  <c r="V153" i="16"/>
  <c r="AK69" i="16"/>
  <c r="AK78" i="16"/>
  <c r="AK88" i="16"/>
  <c r="AR23" i="16"/>
  <c r="AR43" i="16"/>
  <c r="AR47" i="16"/>
  <c r="AR103" i="16"/>
  <c r="Z22" i="16"/>
  <c r="Z20" i="16"/>
  <c r="Z37" i="16"/>
  <c r="Z19" i="16"/>
  <c r="Z16" i="16"/>
  <c r="Z134" i="16"/>
  <c r="Z153" i="16"/>
  <c r="V44" i="16"/>
  <c r="V22" i="16"/>
  <c r="V16" i="16"/>
  <c r="V19" i="16"/>
  <c r="V51" i="16"/>
  <c r="V38" i="16"/>
  <c r="V122" i="16"/>
  <c r="AK65" i="16"/>
  <c r="AK67" i="16"/>
  <c r="AK79" i="16"/>
  <c r="AC34" i="16"/>
  <c r="AC22" i="16"/>
  <c r="AC19" i="16"/>
  <c r="AC16" i="16"/>
  <c r="AC37" i="16"/>
  <c r="AC20" i="16"/>
  <c r="AC134" i="16"/>
  <c r="AC153" i="16"/>
  <c r="AR90" i="16"/>
  <c r="AR158" i="16"/>
  <c r="AK58" i="16"/>
  <c r="AK101" i="16"/>
  <c r="AR58" i="16"/>
  <c r="AR65" i="16"/>
  <c r="AR68" i="16"/>
  <c r="AR73" i="16"/>
  <c r="AR75" i="16"/>
  <c r="AR49" i="16"/>
  <c r="AR40" i="16"/>
  <c r="AR20" i="16"/>
  <c r="AR11" i="16"/>
  <c r="AR82" i="16"/>
  <c r="AR84" i="16"/>
  <c r="AR87" i="16"/>
  <c r="AR91" i="16"/>
  <c r="AR92" i="16"/>
  <c r="AR122" i="16"/>
  <c r="AR138" i="16"/>
  <c r="AR151" i="16"/>
  <c r="AK48" i="16"/>
  <c r="AK72" i="16"/>
  <c r="AK86" i="16"/>
  <c r="AK115" i="16"/>
  <c r="AK130" i="16"/>
  <c r="AK135" i="16"/>
  <c r="AK60" i="16"/>
  <c r="AK19" i="16"/>
  <c r="AK27" i="16"/>
  <c r="AK95" i="16"/>
  <c r="AK147" i="16"/>
  <c r="AK111" i="16"/>
  <c r="AK149" i="16"/>
  <c r="AK163" i="16"/>
  <c r="AK80" i="16"/>
  <c r="AK93" i="16"/>
  <c r="AK100" i="16"/>
  <c r="AK139" i="16"/>
  <c r="AK140" i="16"/>
  <c r="AK153" i="16"/>
  <c r="AK59" i="16"/>
  <c r="AK41" i="16"/>
  <c r="AK98" i="16"/>
  <c r="AK121" i="16"/>
  <c r="AR59" i="16"/>
  <c r="AR74" i="16"/>
  <c r="AR41" i="16"/>
  <c r="AK25" i="16"/>
  <c r="AK28" i="16"/>
  <c r="AK45" i="16"/>
  <c r="AK161" i="16"/>
  <c r="AR64" i="16"/>
  <c r="AR69" i="16"/>
  <c r="AR45" i="16"/>
  <c r="AR102" i="16"/>
  <c r="AR16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E49" i="8" l="1"/>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Q38" i="8" s="1"/>
  <c r="K38" i="8" s="1"/>
  <c r="Z65" i="16"/>
  <c r="Z64" i="16"/>
  <c r="Z67" i="16"/>
  <c r="Z71" i="16"/>
  <c r="V39" i="16"/>
  <c r="V64" i="16"/>
  <c r="V63" i="16"/>
  <c r="V65" i="16"/>
  <c r="V76" i="16"/>
  <c r="AL12" i="16"/>
  <c r="AK33" i="16"/>
  <c r="Q39" i="8"/>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<sst xmlns="http://schemas.openxmlformats.org/spreadsheetml/2006/main" count="9507" uniqueCount="909">
  <si>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</si>
  <si>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</si>
  <si>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</si>
  <si>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</si>
  <si>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</si>
  <si>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</si>
  <si>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</si>
  <si>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</si>
  <si>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</si>
  <si>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</si>
  <si>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</si>
  <si>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</si>
  <si>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</si>
  <si>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</si>
  <si>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</si>
  <si>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</si>
  <si>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</si>
  <si>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</si>
  <si>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</si>
  <si>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</si>
  <si>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</si>
  <si>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</si>
  <si>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</si>
  <si>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</si>
  <si>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</si>
  <si>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</si>
  <si>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</si>
  <si>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</si>
  <si>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</si>
  <si>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</si>
  <si>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</si>
  <si>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</si>
  <si>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</si>
  <si>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</si>
  <si>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</si>
  <si>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</si>
  <si>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</si>
  <si>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</si>
  <si>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</si>
  <si>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</si>
  <si>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</si>
  <si>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</si>
  <si>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</si>
  <si>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</si>
  <si>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</si>
  <si>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</si>
  <si>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</si>
  <si>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</si>
  <si>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</si>
  <si>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</si>
  <si>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</si>
  <si>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</si>
  <si>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</si>
  <si>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</si>
  <si>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</si>
  <si>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</si>
  <si>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</si>
  <si>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</si>
  <si>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</si>
  <si>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</si>
  <si>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</si>
  <si>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</si>
  <si>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</si>
  <si>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</si>
  <si>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</si>
  <si>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</si>
  <si>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</si>
  <si>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</si>
  <si>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</si>
  <si>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</si>
  <si>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</si>
  <si>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</si>
  <si>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</si>
  <si>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</si>
  <si>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</si>
  <si>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</si>
  <si>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</si>
  <si>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</si>
  <si>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</si>
  <si>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</si>
  <si>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</si>
  <si>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</si>
  <si>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</si>
  <si>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</si>
  <si>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</si>
  <si>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</si>
  <si>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</si>
  <si>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</si>
  <si>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</si>
  <si>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</si>
  <si>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</si>
  <si>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</si>
  <si>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</si>
  <si>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</si>
  <si>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</si>
  <si>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</si>
  <si>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</si>
  <si>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</si>
  <si>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</si>
  <si>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</si>
  <si>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</si>
  <si>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</si>
  <si>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</si>
  <si>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</si>
  <si>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</si>
  <si>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</si>
  <si>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</si>
  <si>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</si>
  <si>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</si>
  <si>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</si>
  <si>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</si>
  <si>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</si>
  <si>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</si>
  <si>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</si>
  <si>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</si>
  <si>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</si>
  <si>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</si>
  <si>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</si>
  <si>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</si>
  <si>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</si>
  <si>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</si>
  <si>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</si>
  <si>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</si>
  <si>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</si>
  <si>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</si>
  <si>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</si>
  <si>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</si>
  <si>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</si>
  <si>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</si>
  <si>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</si>
  <si>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</si>
  <si>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</si>
  <si>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</si>
  <si>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</si>
  <si>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</si>
  <si>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</si>
  <si>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</si>
  <si>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</si>
  <si>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</si>
  <si>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</si>
  <si>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</si>
  <si>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</si>
  <si>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</si>
  <si>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</si>
  <si>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</si>
  <si>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</si>
  <si>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</si>
  <si>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</si>
  <si>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</si>
  <si>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</si>
  <si>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</si>
  <si>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</si>
  <si>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</si>
  <si>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</si>
  <si>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</si>
  <si>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</si>
  <si>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</si>
  <si>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</si>
  <si>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</si>
  <si>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</si>
  <si>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</si>
  <si>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</si>
  <si>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</si>
  <si>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</si>
  <si>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</si>
  <si>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</si>
  <si>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</si>
  <si>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</si>
  <si>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</si>
  <si>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</si>
  <si>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</si>
  <si>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</si>
  <si>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</si>
  <si>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</si>
  <si>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</si>
  <si>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</si>
  <si>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</si>
  <si>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</si>
  <si>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</si>
  <si>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</si>
  <si>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</si>
  <si>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</si>
  <si>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</si>
  <si>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</si>
  <si>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</si>
  <si>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</si>
  <si>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</si>
  <si>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</si>
  <si>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</si>
  <si>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</si>
  <si>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</si>
  <si>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</si>
  <si>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</si>
  <si>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</si>
  <si>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</si>
  <si>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</si>
  <si>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</si>
  <si>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</si>
  <si>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</si>
  <si>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</si>
  <si>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</si>
  <si>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</si>
  <si>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</si>
  <si>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</si>
  <si>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</si>
  <si>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</si>
  <si>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</si>
  <si>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</si>
  <si>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</si>
  <si>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</si>
  <si>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</si>
  <si>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</si>
  <si>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</si>
  <si>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</si>
  <si>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</si>
  <si>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</si>
  <si>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</si>
  <si>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</si>
  <si>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</si>
  <si>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</si>
  <si>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</si>
  <si>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</si>
  <si>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</si>
  <si>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</si>
  <si>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</si>
  <si>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</si>
  <si>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</si>
  <si>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</si>
  <si>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</si>
  <si>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</si>
  <si>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</si>
  <si>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</si>
  <si>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</si>
  <si>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</si>
  <si>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</si>
  <si>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</si>
  <si>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</si>
  <si>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</si>
  <si>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</si>
  <si>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</si>
  <si>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</si>
  <si>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</si>
  <si>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</si>
  <si>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</si>
  <si>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</si>
  <si>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</si>
  <si>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</si>
  <si>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</si>
  <si>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</si>
  <si>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</si>
  <si>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</si>
  <si>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</si>
  <si>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</si>
  <si>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</si>
  <si>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</si>
  <si>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</si>
  <si>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</si>
  <si>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</si>
  <si>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</si>
  <si>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</si>
  <si>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</si>
  <si>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</si>
  <si>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</si>
  <si>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</si>
  <si>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</si>
  <si>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</si>
  <si>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</si>
  <si>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</si>
  <si>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</si>
  <si>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</si>
  <si>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</si>
  <si>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</si>
  <si>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</si>
  <si>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</si>
  <si>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</si>
  <si>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</si>
  <si>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</si>
  <si>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</si>
  <si>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</si>
  <si>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</si>
  <si>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</si>
  <si>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</si>
  <si>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</si>
  <si>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</si>
  <si>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</si>
  <si>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</si>
  <si>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</si>
  <si>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</si>
  <si>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</si>
  <si>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</si>
  <si>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</si>
  <si>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</si>
  <si>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</si>
  <si>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</si>
  <si>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</si>
  <si>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</si>
  <si>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</si>
  <si>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</si>
  <si>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</si>
  <si>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</si>
  <si>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</si>
  <si>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</si>
  <si>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</si>
  <si>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</si>
  <si>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</si>
  <si>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</si>
  <si>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</si>
  <si>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</si>
  <si>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</si>
  <si>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</si>
  <si>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</si>
  <si>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</si>
  <si>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</si>
  <si>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</si>
  <si>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</si>
  <si>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</si>
  <si>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</si>
  <si>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</si>
  <si>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</si>
  <si>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</si>
  <si>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</si>
  <si>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</si>
  <si>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</si>
  <si>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</si>
  <si>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</si>
  <si>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</si>
  <si>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</si>
  <si>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</si>
  <si>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</si>
  <si>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</si>
  <si>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</si>
  <si>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</si>
  <si>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</si>
  <si>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</si>
  <si>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</si>
  <si>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</si>
  <si>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</si>
  <si>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</si>
  <si>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</si>
  <si>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</si>
  <si>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</si>
  <si>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</si>
  <si>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</si>
  <si>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</si>
  <si>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</si>
  <si>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</si>
  <si>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</si>
  <si>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</si>
  <si>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</si>
  <si>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</si>
  <si>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</si>
  <si>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</si>
  <si>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</si>
  <si>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</si>
  <si>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</si>
  <si>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</si>
  <si>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</si>
  <si>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</si>
  <si>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</si>
  <si>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</si>
  <si>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</si>
  <si>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</si>
  <si>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</si>
  <si>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</si>
  <si>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</si>
  <si>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</si>
  <si>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</si>
  <si>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</si>
  <si>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</si>
  <si>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</si>
  <si>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</si>
  <si>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</si>
  <si>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</si>
  <si>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</si>
  <si>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</si>
  <si>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</si>
  <si>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</si>
  <si>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</si>
  <si>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</si>
  <si>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</si>
  <si>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</si>
  <si>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</si>
  <si>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</si>
  <si>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</si>
  <si>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</si>
  <si>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</si>
  <si>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</si>
  <si>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</si>
  <si>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</si>
  <si>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</si>
  <si>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</si>
  <si>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</si>
  <si>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</si>
  <si>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</si>
  <si>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</si>
  <si>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</si>
  <si>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</si>
  <si>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</si>
  <si>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</si>
  <si>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</si>
  <si>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</si>
  <si>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</si>
  <si>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</si>
  <si>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</si>
  <si>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</si>
  <si>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</si>
  <si>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</si>
  <si>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</si>
  <si>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</si>
  <si>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</si>
  <si>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</si>
  <si>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</si>
  <si>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</si>
  <si>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</si>
  <si>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</si>
  <si>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</si>
  <si>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</si>
  <si>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</si>
  <si>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</si>
  <si>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</si>
  <si>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</si>
  <si>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</si>
  <si>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</si>
  <si>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</si>
  <si>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</si>
  <si>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</si>
  <si>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</si>
  <si>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</si>
  <si>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</si>
  <si>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</si>
  <si>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</si>
  <si>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</si>
  <si>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</si>
  <si>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</si>
  <si>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</si>
  <si>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</si>
  <si>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</si>
  <si>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</si>
  <si>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</si>
  <si>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</si>
  <si>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</si>
  <si>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</si>
  <si>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</si>
  <si>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</si>
  <si>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</si>
  <si>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</si>
  <si>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</si>
  <si>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</si>
  <si>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</si>
  <si>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</si>
  <si>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</si>
  <si>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</si>
  <si>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</si>
  <si>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</si>
  <si>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</si>
  <si>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</si>
  <si>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</si>
  <si>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</si>
  <si>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</si>
  <si>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</si>
  <si>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</si>
  <si>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</si>
  <si>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</si>
  <si>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</si>
  <si>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</si>
  <si>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</si>
  <si>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</si>
  <si>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</si>
  <si>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</si>
  <si>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</si>
  <si>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</si>
  <si>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</si>
  <si>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</si>
  <si>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</si>
  <si>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</si>
  <si>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</si>
  <si>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</si>
  <si>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</si>
  <si>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</si>
  <si>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</si>
  <si>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</si>
  <si>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</si>
  <si>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</si>
  <si>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</si>
  <si>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</si>
  <si>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</si>
  <si>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</si>
  <si>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</si>
  <si>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</si>
  <si>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</si>
  <si>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</si>
  <si>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</si>
  <si>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</si>
  <si>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</si>
  <si>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</si>
  <si>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</si>
  <si>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</si>
  <si>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</si>
  <si>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</si>
  <si>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</si>
  <si>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</si>
  <si>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</si>
  <si>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</si>
  <si>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</si>
  <si>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</si>
  <si>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</si>
  <si>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</si>
  <si>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</si>
  <si>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</si>
  <si>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</si>
  <si>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</si>
  <si>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</si>
  <si>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</si>
  <si>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</si>
  <si>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</si>
  <si>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</si>
  <si>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</si>
  <si>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</si>
  <si>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</si>
  <si>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</si>
  <si>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</si>
  <si>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</si>
  <si>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</si>
  <si>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</si>
  <si>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</si>
  <si>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</si>
  <si>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</si>
  <si>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</si>
  <si>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</si>
  <si>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</si>
  <si>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</si>
  <si>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</si>
  <si>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</si>
  <si>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</si>
  <si>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</si>
  <si>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</si>
  <si>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</si>
  <si>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</si>
  <si>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</si>
  <si>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</si>
  <si>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</si>
  <si>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</si>
  <si>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</si>
  <si>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</si>
  <si>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</si>
  <si>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</si>
  <si>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</si>
  <si>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</si>
  <si>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</si>
  <si>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</si>
  <si>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</si>
  <si>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</si>
  <si>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</si>
  <si>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</si>
  <si>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</si>
  <si>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</si>
  <si>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</si>
  <si>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</si>
  <si>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</si>
  <si>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</si>
  <si>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</si>
  <si>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</si>
  <si>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</si>
  <si>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</si>
  <si>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</si>
  <si>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</si>
  <si>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</si>
  <si>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</si>
  <si>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</si>
  <si>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</si>
  <si>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</si>
  <si>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</si>
  <si>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</si>
  <si>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</si>
  <si>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</si>
  <si>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</si>
  <si>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</si>
  <si>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</si>
  <si>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</si>
  <si>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</si>
  <si>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</si>
  <si>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</si>
  <si>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</si>
  <si>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</si>
  <si>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</si>
  <si>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</si>
  <si>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</si>
  <si>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</si>
  <si>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</si>
  <si>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</si>
  <si>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</si>
  <si>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</si>
  <si>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</si>
  <si>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</si>
  <si>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</si>
  <si>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</si>
  <si>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</si>
  <si>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</si>
  <si>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</si>
  <si>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</si>
  <si>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</si>
  <si>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</si>
  <si>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</si>
  <si>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</si>
  <si>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</si>
  <si>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</si>
  <si>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</si>
  <si>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</si>
  <si>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</si>
  <si>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</si>
  <si>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</si>
  <si>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</si>
  <si>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</si>
  <si>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</si>
  <si>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</si>
  <si>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</si>
  <si>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</si>
  <si>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</si>
  <si>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</si>
  <si>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</si>
  <si>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</si>
  <si>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</si>
  <si>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</si>
  <si>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</si>
  <si>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</si>
  <si>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</si>
  <si>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</si>
  <si>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</si>
  <si>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</si>
  <si>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</si>
  <si>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</si>
  <si>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</si>
  <si>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</si>
  <si>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</si>
  <si>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</si>
  <si>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</si>
  <si>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</si>
  <si>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</si>
  <si>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</si>
  <si>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</si>
  <si>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</si>
  <si>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</si>
  <si>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</si>
  <si>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</si>
  <si>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</si>
  <si>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</si>
  <si>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</si>
  <si>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</si>
  <si>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</si>
  <si>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</si>
  <si>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</si>
  <si>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</si>
  <si>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</si>
  <si>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</si>
  <si>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</si>
  <si>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</si>
  <si>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</si>
  <si>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</si>
  <si>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</si>
  <si>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</si>
  <si>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</si>
  <si>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</si>
  <si>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</si>
  <si>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</si>
  <si>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</si>
  <si>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</si>
  <si>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</si>
  <si>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</si>
  <si>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</si>
  <si>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</si>
  <si>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</si>
  <si>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</si>
  <si>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</si>
  <si>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</si>
  <si>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</si>
  <si>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</si>
  <si>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</si>
  <si>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</si>
  <si>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</si>
  <si>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</si>
  <si>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</si>
  <si>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</si>
  <si>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</si>
  <si>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</si>
  <si>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</si>
  <si>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</si>
  <si>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</si>
  <si>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</si>
  <si>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</si>
  <si>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</si>
  <si>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</si>
  <si>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</si>
  <si>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</si>
  <si>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</si>
  <si>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</si>
  <si>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</si>
  <si>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</si>
  <si>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</si>
  <si>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</si>
  <si>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</si>
  <si>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</si>
  <si>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</si>
  <si>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</si>
  <si>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</si>
  <si>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</si>
  <si>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</si>
  <si>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</si>
  <si>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</si>
  <si>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</si>
  <si>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</si>
  <si>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</si>
  <si>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</si>
  <si>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</si>
  <si>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</si>
  <si>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</si>
  <si>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</si>
  <si>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</si>
  <si>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</si>
  <si>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</si>
  <si>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</si>
  <si>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</si>
  <si>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</si>
  <si>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</si>
  <si>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</si>
  <si>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</si>
  <si>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</si>
  <si>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</si>
  <si>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</si>
  <si>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</si>
  <si>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</si>
  <si>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</si>
  <si>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</si>
  <si>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</si>
  <si>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</si>
  <si>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</si>
  <si>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</si>
  <si>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</si>
  <si>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</si>
  <si>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</si>
  <si>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</si>
  <si>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</si>
  <si>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</si>
  <si>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</si>
  <si>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</si>
  <si>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</si>
  <si>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</si>
  <si>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</si>
  <si>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</si>
  <si>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</si>
  <si>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</si>
  <si>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</si>
  <si>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</si>
  <si>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</si>
  <si>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</si>
  <si>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</si>
  <si>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</si>
  <si>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</si>
  <si>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</si>
  <si>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</si>
  <si>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</si>
  <si>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</si>
  <si>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</si>
  <si>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</si>
  <si>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</si>
  <si>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</si>
  <si>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</si>
  <si>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</si>
  <si>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</si>
  <si>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</si>
  <si>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</si>
  <si>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</si>
  <si>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</si>
  <si>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</si>
  <si>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</si>
  <si>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</si>
  <si>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</si>
  <si>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</si>
  <si>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</si>
  <si>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</si>
  <si>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</si>
  <si>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</si>
  <si>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</si>
  <si>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</si>
  <si>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</si>
  <si>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</si>
  <si>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</si>
  <si>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</si>
  <si>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</si>
  <si>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</si>
  <si>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</si>
  <si>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</si>
  <si>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</si>
  <si>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</si>
  <si>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</si>
  <si>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</si>
  <si>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</si>
  <si>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</si>
  <si>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</si>
  <si>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</si>
  <si>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</si>
  <si>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</si>
  <si>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</si>
  <si>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</si>
  <si>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</si>
  <si>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</si>
  <si>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</si>
  <si>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</si>
  <si>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</si>
  <si>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</si>
  <si>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</si>
  <si>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</si>
  <si>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</si>
  <si>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</si>
  <si>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</si>
  <si>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</si>
  <si>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</si>
  <si>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</si>
  <si>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</si>
  <si>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</si>
  <si>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</si>
  <si>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</si>
  <si>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</si>
  <si>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</si>
  <si>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</si>
  <si>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</si>
  <si>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</si>
  <si>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</si>
  <si>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</si>
  <si>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</si>
  <si>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</si>
  <si>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</si>
  <si>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</si>
  <si>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</si>
  <si>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</si>
  <si>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</si>
  <si>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</si>
  <si>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</si>
  <si>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</si>
  <si>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</si>
  <si>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</si>
  <si>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</si>
  <si>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</si>
  <si>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</si>
  <si>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</si>
  <si>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</si>
  <si>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</si>
  <si>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</si>
  <si>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</si>
  <si>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</si>
  <si>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</si>
  <si>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</si>
  <si>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</si>
  <si>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</si>
  <si>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</si>
  <si>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</si>
  <si>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</si>
  <si>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</si>
  <si>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</si>
  <si>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</si>
  <si>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</si>
  <si>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</si>
  <si>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</si>
  <si>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</si>
  <si>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</si>
  <si>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</si>
  <si>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</si>
  <si>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</si>
  <si>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</si>
  <si>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</si>
  <si>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</si>
  <si>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</si>
  <si>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</si>
  <si>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</si>
  <si>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</si>
  <si>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</si>
  <si>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</si>
  <si>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</si>
  <si>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</si>
  <si>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</si>
  <si>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</si>
  <si>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</si>
  <si>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</si>
  <si>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</si>
  <si>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</si>
  <si>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</si>
  <si>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</si>
  <si>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</si>
  <si>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</si>
  <si>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</si>
  <si>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</si>
  <si>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</si>
  <si>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</si>
  <si>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</si>
  <si>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</si>
  <si>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</si>
  <si>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</si>
  <si>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</si>
  <si>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</si>
  <si>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</si>
  <si>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</si>
  <si>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</si>
  <si>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t>
  </si>
  <si>
    <t>2023 Q1</t>
  </si>
  <si>
    <t>2023 Q2</t>
  </si>
  <si>
    <t>Major Developments - % decisions in time</t>
  </si>
  <si>
    <t>Minor Developments - % decisions in time</t>
  </si>
  <si>
    <t>Other Developments - % decisions in time</t>
  </si>
  <si>
    <t>2023 Q3</t>
  </si>
  <si>
    <t>2023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</si>
</sst>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2"/>
                <c:pt idx="1">
                  <c:v>u</c:v>
                </c:pt>
              </c:strCache>
            </c:strRef>
          </c:cat>
          <c:val>
            <c:numRef>
              <c:f>[0]!TopQuart</c:f>
              <c:numCache>
                <c:formatCode>General</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2"/>
                <c:pt idx="1">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2"/>
                <c:pt idx="1">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95</c:v>
                </c:pt>
                <c:pt idx="83">
                  <c:v>94.444444444444443</c:v>
                </c:pt>
                <c:pt idx="84">
                  <c:v>94.117647058823522</c:v>
                </c:pt>
                <c:pt idx="85">
                  <c:v>93.75</c:v>
                </c:pt>
                <c:pt idx="86">
                  <c:v>93.333333333333329</c:v>
                </c:pt>
                <c:pt idx="87">
                  <c:v>92.857142857142861</c:v>
                </c:pt>
                <c:pt idx="88">
                  <c:v>91.666666666666657</c:v>
                </c:pt>
                <c:pt idx="89">
                  <c:v>90.909090909090907</c:v>
                </c:pt>
                <c:pt idx="90">
                  <c:v>90.909090909090907</c:v>
                </c:pt>
                <c:pt idx="91">
                  <c:v>90.909090909090907</c:v>
                </c:pt>
                <c:pt idx="92">
                  <c:v>90.909090909090907</c:v>
                </c:pt>
                <c:pt idx="93">
                  <c:v>90</c:v>
                </c:pt>
                <c:pt idx="94">
                  <c:v>88.888888888888886</c:v>
                </c:pt>
                <c:pt idx="95">
                  <c:v>88.888888888888886</c:v>
                </c:pt>
                <c:pt idx="96">
                  <c:v>88.888888888888886</c:v>
                </c:pt>
                <c:pt idx="97">
                  <c:v>88.235294117647058</c:v>
                </c:pt>
                <c:pt idx="98">
                  <c:v>87.5</c:v>
                </c:pt>
                <c:pt idx="99">
                  <c:v>87.5</c:v>
                </c:pt>
                <c:pt idx="100">
                  <c:v>87.5</c:v>
                </c:pt>
                <c:pt idx="101">
                  <c:v>87.5</c:v>
                </c:pt>
                <c:pt idx="102">
                  <c:v>87.5</c:v>
                </c:pt>
                <c:pt idx="103">
                  <c:v>86.666666666666671</c:v>
                </c:pt>
                <c:pt idx="104">
                  <c:v>85.714285714285708</c:v>
                </c:pt>
                <c:pt idx="105">
                  <c:v>85.714285714285708</c:v>
                </c:pt>
                <c:pt idx="106">
                  <c:v>85.714285714285708</c:v>
                </c:pt>
                <c:pt idx="107">
                  <c:v>85.714285714285708</c:v>
                </c:pt>
                <c:pt idx="108">
                  <c:v>84.615384615384613</c:v>
                </c:pt>
                <c:pt idx="109">
                  <c:v>84.615384615384613</c:v>
                </c:pt>
                <c:pt idx="110">
                  <c:v>84.615384615384613</c:v>
                </c:pt>
                <c:pt idx="111">
                  <c:v>83.333333333333343</c:v>
                </c:pt>
                <c:pt idx="112">
                  <c:v>83.333333333333343</c:v>
                </c:pt>
                <c:pt idx="113">
                  <c:v>83.333333333333343</c:v>
                </c:pt>
                <c:pt idx="114">
                  <c:v>83.333333333333343</c:v>
                </c:pt>
                <c:pt idx="115">
                  <c:v>83.333333333333343</c:v>
                </c:pt>
                <c:pt idx="116">
                  <c:v>83.333333333333343</c:v>
                </c:pt>
                <c:pt idx="117">
                  <c:v>81.818181818181827</c:v>
                </c:pt>
                <c:pt idx="118">
                  <c:v>81.818181818181827</c:v>
                </c:pt>
                <c:pt idx="119">
                  <c:v>80</c:v>
                </c:pt>
                <c:pt idx="120">
                  <c:v>80</c:v>
                </c:pt>
                <c:pt idx="121">
                  <c:v>80</c:v>
                </c:pt>
                <c:pt idx="122">
                  <c:v>80</c:v>
                </c:pt>
                <c:pt idx="123">
                  <c:v>80</c:v>
                </c:pt>
                <c:pt idx="124">
                  <c:v>80</c:v>
                </c:pt>
                <c:pt idx="125">
                  <c:v>80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2"/>
                <c:pt idx="1">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78.571428571428569</c:v>
                </c:pt>
                <c:pt idx="127">
                  <c:v>75</c:v>
                </c:pt>
                <c:pt idx="128">
                  <c:v>75</c:v>
                </c:pt>
                <c:pt idx="129">
                  <c:v>75</c:v>
                </c:pt>
                <c:pt idx="130">
                  <c:v>75</c:v>
                </c:pt>
                <c:pt idx="131">
                  <c:v>73.333333333333329</c:v>
                </c:pt>
                <c:pt idx="132">
                  <c:v>71.428571428571431</c:v>
                </c:pt>
                <c:pt idx="133">
                  <c:v>71.428571428571431</c:v>
                </c:pt>
                <c:pt idx="134">
                  <c:v>71.428571428571431</c:v>
                </c:pt>
                <c:pt idx="135">
                  <c:v>71.428571428571431</c:v>
                </c:pt>
                <c:pt idx="136">
                  <c:v>71.428571428571431</c:v>
                </c:pt>
                <c:pt idx="137">
                  <c:v>71.428571428571431</c:v>
                </c:pt>
                <c:pt idx="138">
                  <c:v>69.230769230769226</c:v>
                </c:pt>
                <c:pt idx="139">
                  <c:v>66.666666666666657</c:v>
                </c:pt>
                <c:pt idx="140">
                  <c:v>66.666666666666657</c:v>
                </c:pt>
                <c:pt idx="141">
                  <c:v>66.666666666666657</c:v>
                </c:pt>
                <c:pt idx="142">
                  <c:v>66.666666666666657</c:v>
                </c:pt>
                <c:pt idx="143">
                  <c:v>66.666666666666657</c:v>
                </c:pt>
                <c:pt idx="144">
                  <c:v>66.666666666666657</c:v>
                </c:pt>
                <c:pt idx="145">
                  <c:v>62.5</c:v>
                </c:pt>
                <c:pt idx="146">
                  <c:v>62.5</c:v>
                </c:pt>
                <c:pt idx="147">
                  <c:v>60</c:v>
                </c:pt>
                <c:pt idx="148">
                  <c:v>60</c:v>
                </c:pt>
                <c:pt idx="149">
                  <c:v>60</c:v>
                </c:pt>
                <c:pt idx="150">
                  <c:v>60</c:v>
                </c:pt>
                <c:pt idx="151">
                  <c:v>60</c:v>
                </c:pt>
                <c:pt idx="152">
                  <c:v>53.846153846153847</c:v>
                </c:pt>
                <c:pt idx="153">
                  <c:v>50</c:v>
                </c:pt>
                <c:pt idx="154">
                  <c:v>50</c:v>
                </c:pt>
                <c:pt idx="155">
                  <c:v>50</c:v>
                </c:pt>
                <c:pt idx="156">
                  <c:v>33.333333333333329</c:v>
                </c:pt>
                <c:pt idx="157">
                  <c:v>16.666666666666664</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2"/>
                <c:pt idx="1">
                  <c:v>u</c:v>
                </c:pt>
              </c:strCache>
            </c:strRef>
          </c:cat>
          <c:val>
            <c:numRef>
              <c:f>[0]!MarkData</c:f>
              <c:numCache>
                <c:formatCode>0.00</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95</c:v>
                </c:pt>
                <c:pt idx="83">
                  <c:v>94.444444444444443</c:v>
                </c:pt>
                <c:pt idx="84">
                  <c:v>94.117647058823522</c:v>
                </c:pt>
                <c:pt idx="85">
                  <c:v>93.75</c:v>
                </c:pt>
                <c:pt idx="86">
                  <c:v>93.333333333333329</c:v>
                </c:pt>
                <c:pt idx="87">
                  <c:v>92.857142857142861</c:v>
                </c:pt>
                <c:pt idx="88">
                  <c:v>91.666666666666657</c:v>
                </c:pt>
                <c:pt idx="89">
                  <c:v>90.909090909090907</c:v>
                </c:pt>
                <c:pt idx="90">
                  <c:v>90.909090909090907</c:v>
                </c:pt>
                <c:pt idx="91">
                  <c:v>90.909090909090907</c:v>
                </c:pt>
                <c:pt idx="92">
                  <c:v>90.909090909090907</c:v>
                </c:pt>
                <c:pt idx="93">
                  <c:v>90</c:v>
                </c:pt>
                <c:pt idx="94">
                  <c:v>88.888888888888886</c:v>
                </c:pt>
                <c:pt idx="95">
                  <c:v>88.888888888888886</c:v>
                </c:pt>
                <c:pt idx="96">
                  <c:v>88.888888888888886</c:v>
                </c:pt>
                <c:pt idx="97">
                  <c:v>88.235294117647058</c:v>
                </c:pt>
                <c:pt idx="98">
                  <c:v>87.5</c:v>
                </c:pt>
                <c:pt idx="99">
                  <c:v>87.5</c:v>
                </c:pt>
                <c:pt idx="100">
                  <c:v>87.5</c:v>
                </c:pt>
                <c:pt idx="101">
                  <c:v>87.5</c:v>
                </c:pt>
                <c:pt idx="102">
                  <c:v>87.5</c:v>
                </c:pt>
                <c:pt idx="103">
                  <c:v>86.666666666666671</c:v>
                </c:pt>
                <c:pt idx="104">
                  <c:v>85.714285714285708</c:v>
                </c:pt>
                <c:pt idx="105">
                  <c:v>85.714285714285708</c:v>
                </c:pt>
                <c:pt idx="106">
                  <c:v>85.714285714285708</c:v>
                </c:pt>
                <c:pt idx="107">
                  <c:v>85.714285714285708</c:v>
                </c:pt>
                <c:pt idx="108">
                  <c:v>84.615384615384613</c:v>
                </c:pt>
                <c:pt idx="109">
                  <c:v>84.615384615384613</c:v>
                </c:pt>
                <c:pt idx="110">
                  <c:v>84.615384615384613</c:v>
                </c:pt>
                <c:pt idx="111">
                  <c:v>83.333333333333343</c:v>
                </c:pt>
                <c:pt idx="112">
                  <c:v>83.333333333333343</c:v>
                </c:pt>
                <c:pt idx="113">
                  <c:v>83.333333333333343</c:v>
                </c:pt>
                <c:pt idx="114">
                  <c:v>83.333333333333343</c:v>
                </c:pt>
                <c:pt idx="115">
                  <c:v>83.333333333333343</c:v>
                </c:pt>
                <c:pt idx="116">
                  <c:v>83.333333333333343</c:v>
                </c:pt>
                <c:pt idx="117">
                  <c:v>81.818181818181827</c:v>
                </c:pt>
                <c:pt idx="118">
                  <c:v>81.818181818181827</c:v>
                </c:pt>
                <c:pt idx="119">
                  <c:v>80</c:v>
                </c:pt>
                <c:pt idx="120">
                  <c:v>80</c:v>
                </c:pt>
                <c:pt idx="121">
                  <c:v>80</c:v>
                </c:pt>
                <c:pt idx="122">
                  <c:v>80</c:v>
                </c:pt>
                <c:pt idx="123">
                  <c:v>80</c:v>
                </c:pt>
                <c:pt idx="124">
                  <c:v>80</c:v>
                </c:pt>
                <c:pt idx="125">
                  <c:v>80</c:v>
                </c:pt>
                <c:pt idx="126">
                  <c:v>78.571428571428569</c:v>
                </c:pt>
                <c:pt idx="127">
                  <c:v>75</c:v>
                </c:pt>
                <c:pt idx="128">
                  <c:v>75</c:v>
                </c:pt>
                <c:pt idx="129">
                  <c:v>75</c:v>
                </c:pt>
                <c:pt idx="130">
                  <c:v>75</c:v>
                </c:pt>
                <c:pt idx="131">
                  <c:v>73.333333333333329</c:v>
                </c:pt>
                <c:pt idx="132">
                  <c:v>71.428571428571431</c:v>
                </c:pt>
                <c:pt idx="133">
                  <c:v>71.428571428571431</c:v>
                </c:pt>
                <c:pt idx="134">
                  <c:v>71.428571428571431</c:v>
                </c:pt>
                <c:pt idx="135">
                  <c:v>71.428571428571431</c:v>
                </c:pt>
                <c:pt idx="136">
                  <c:v>71.428571428571431</c:v>
                </c:pt>
                <c:pt idx="137">
                  <c:v>71.428571428571431</c:v>
                </c:pt>
                <c:pt idx="138">
                  <c:v>69.230769230769226</c:v>
                </c:pt>
                <c:pt idx="139">
                  <c:v>66.666666666666657</c:v>
                </c:pt>
                <c:pt idx="140">
                  <c:v>66.666666666666657</c:v>
                </c:pt>
                <c:pt idx="141">
                  <c:v>66.666666666666657</c:v>
                </c:pt>
                <c:pt idx="142">
                  <c:v>66.666666666666657</c:v>
                </c:pt>
                <c:pt idx="143">
                  <c:v>66.666666666666657</c:v>
                </c:pt>
                <c:pt idx="144">
                  <c:v>66.666666666666657</c:v>
                </c:pt>
                <c:pt idx="145">
                  <c:v>62.5</c:v>
                </c:pt>
                <c:pt idx="146">
                  <c:v>62.5</c:v>
                </c:pt>
                <c:pt idx="147">
                  <c:v>60</c:v>
                </c:pt>
                <c:pt idx="148">
                  <c:v>60</c:v>
                </c:pt>
                <c:pt idx="149">
                  <c:v>60</c:v>
                </c:pt>
                <c:pt idx="150">
                  <c:v>60</c:v>
                </c:pt>
                <c:pt idx="151">
                  <c:v>60</c:v>
                </c:pt>
                <c:pt idx="152">
                  <c:v>53.846153846153847</c:v>
                </c:pt>
                <c:pt idx="153">
                  <c:v>50</c:v>
                </c:pt>
                <c:pt idx="154">
                  <c:v>50</c:v>
                </c:pt>
                <c:pt idx="155">
                  <c:v>50</c:v>
                </c:pt>
                <c:pt idx="156">
                  <c:v>33.333333333333329</c:v>
                </c:pt>
                <c:pt idx="157">
                  <c:v>16.666666666666664</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100</c:v>
                </c:pt>
                <c:pt idx="1">
                  <c:v>85.590042678905647</c:v>
                </c:pt>
                <c:pt idx="2">
                  <c:v>79.967532467532465</c:v>
                </c:pt>
                <c:pt idx="3">
                  <c:v>89.048501210764456</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97.5</c:v>
                </c:pt>
                <c:pt idx="1">
                  <c:v>97.5</c:v>
                </c:pt>
                <c:pt idx="2">
                  <c:v>97.5</c:v>
                </c:pt>
                <c:pt idx="3">
                  <c:v>97.5</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100</c:v>
                </c:pt>
                <c:pt idx="1">
                  <c:v>89.075199507501765</c:v>
                </c:pt>
                <c:pt idx="2">
                  <c:v>82.331632653061206</c:v>
                </c:pt>
                <c:pt idx="3">
                  <c:v>86.276889776889789</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97.5</c:v>
                </c:pt>
                <c:pt idx="1">
                  <c:v>97.5</c:v>
                </c:pt>
                <c:pt idx="2">
                  <c:v>97.5</c:v>
                </c:pt>
                <c:pt idx="3">
                  <c:v>97.5</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W6" sqref="W6:AM10"/>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District</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12</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904</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District</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East of England</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County:</v>
      </c>
      <c r="C10" s="256"/>
      <c r="D10" s="256"/>
      <c r="E10" s="256"/>
      <c r="F10" s="256"/>
      <c r="G10" s="256"/>
      <c r="H10" s="256"/>
      <c r="I10" s="256"/>
      <c r="J10" s="245" t="str">
        <f>IF('Filtered Data'!D1="L","",IF('Filtered Data'!D1="MD",'Filtered Data'!I3,IF('Filtered Data'!D1="SD",'Filtered Data'!I3,'Filtered Data'!H3)))</f>
        <v>Suffolk</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Rural Classification:</v>
      </c>
      <c r="C11" s="256"/>
      <c r="D11" s="256"/>
      <c r="E11" s="256"/>
      <c r="F11" s="256"/>
      <c r="G11" s="256"/>
      <c r="H11" s="256"/>
      <c r="I11" s="256"/>
      <c r="J11" s="3" t="str">
        <f>IF('Filtered Data'!D1="MD",'Filtered Data'!H3,IF('Filtered Data'!D1="SD",'Filtered Data'!H3,""))</f>
        <v xml:space="preserve">Predominantly Rural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908</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- 2023 Q4</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1</v>
      </c>
      <c r="L32" s="281"/>
      <c r="M32" s="281"/>
      <c r="N32" s="291" t="s">
        <v>351</v>
      </c>
      <c r="O32" s="291"/>
      <c r="P32" s="291"/>
      <c r="Q32" s="291"/>
      <c r="R32" s="291"/>
      <c r="S32" s="291"/>
      <c r="T32" s="281">
        <f>IF('Filtered Data'!$H$8="..",'Filtered Data'!P10,'Filtered Data'!P10/100)</f>
        <v>0.97499999999999998</v>
      </c>
      <c r="U32" s="281"/>
      <c r="V32" s="281"/>
      <c r="W32" s="281"/>
      <c r="X32" s="279" t="s">
        <v>352</v>
      </c>
      <c r="Y32" s="279"/>
      <c r="Z32" s="279"/>
      <c r="AA32" s="279"/>
      <c r="AB32" s="279"/>
      <c r="AC32" s="281">
        <f>IF('Filtered Data'!$H$8="..",'Filtered Data'!Q10,'Filtered Data'!Q10/100)</f>
        <v>0.8</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1</v>
      </c>
      <c r="M35" s="276"/>
      <c r="N35" s="276"/>
      <c r="O35" s="276"/>
      <c r="P35" s="92"/>
      <c r="Q35" s="276" t="s">
        <v>353</v>
      </c>
      <c r="R35" s="276"/>
      <c r="S35" s="276"/>
      <c r="T35" s="276"/>
      <c r="U35" s="276"/>
      <c r="V35" s="276"/>
      <c r="W35" s="276"/>
      <c r="AP35" s="56"/>
    </row>
    <row r="36" spans="2:16384" ht="12.75" customHeight="1">
      <c r="B36" s="275" t="str">
        <f>'Filtered Data'!R8&amp;" Quartile"</f>
        <v>Top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Districts</v>
      </c>
      <c r="C37" s="93"/>
      <c r="D37" s="93"/>
      <c r="E37" s="93"/>
      <c r="F37" s="93"/>
      <c r="G37" s="93"/>
      <c r="H37" s="93"/>
      <c r="I37" s="93"/>
      <c r="J37" s="315" t="s">
        <v>798</v>
      </c>
      <c r="K37" s="94" t="str">
        <f>IF(Q37="","",IF('Filtered Data'!I8="D",IF($L$35&gt;=L37,"J","L"),IF('Filtered Data'!I8="A",IF($L$35&lt;=L37,"J","L"))))</f>
        <v>J</v>
      </c>
      <c r="L37" s="290">
        <f>'Filtered Data'!M9</f>
        <v>0.85590042678905642</v>
      </c>
      <c r="M37" s="290"/>
      <c r="N37" s="290"/>
      <c r="O37" s="290"/>
      <c r="P37" s="95"/>
      <c r="Q37" s="289">
        <f>VLOOKUP(J5,'Filtered Data'!C:I,7,FALSE)</f>
        <v>2</v>
      </c>
      <c r="R37" s="289"/>
      <c r="S37" s="96"/>
      <c r="T37" s="97" t="s">
        <v>354</v>
      </c>
      <c r="U37" s="98"/>
      <c r="V37" s="289">
        <f>COUNT('Filtered Data'!I11:I333)</f>
        <v>164</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 xml:space="preserve">Predominantly Rural </v>
      </c>
      <c r="C38" s="93"/>
      <c r="D38" s="93"/>
      <c r="E38" s="93"/>
      <c r="F38" s="93"/>
      <c r="G38" s="93"/>
      <c r="H38" s="93"/>
      <c r="I38" s="93"/>
      <c r="J38" s="316"/>
      <c r="K38" s="94" t="str">
        <f>IF(Q38="","",IF('Filtered Data'!I8="D",IF($L$35&gt;=L38,"J","L"),IF('Filtered Data'!I8="A",IF($L$35&lt;=L38,"J","L"))))</f>
        <v>J</v>
      </c>
      <c r="L38" s="290">
        <f>IF('Filtered Data'!D1="L",'Filtered Data'!AG9,'Filtered Data'!Y9)</f>
        <v>0.89048501210764452</v>
      </c>
      <c r="M38" s="290"/>
      <c r="N38" s="290"/>
      <c r="O38" s="290"/>
      <c r="P38" s="95"/>
      <c r="Q38" s="293">
        <f>IF(ISERROR(IF('Filtered Data'!D1="L",VLOOKUP(J5,'Filtered Data'!AF11:AH25,3,FALSE),VLOOKUP(J5,'Filtered Data'!$L$11:$Z$333,15,FALSE))),"",(IF('Filtered Data'!D1="L",VLOOKUP(J5,'Filtered Data'!AF11:AH25,3,FALSE),VLOOKUP(J5,'Filtered Data'!$L$11:$Z$333,15,FALSE))))</f>
        <v>1</v>
      </c>
      <c r="R38" s="293"/>
      <c r="S38" s="296" t="s">
        <v>354</v>
      </c>
      <c r="T38" s="290"/>
      <c r="U38" s="290"/>
      <c r="V38" s="289">
        <f>IF('Filtered Data'!D1="L",16,COUNT('Filtered Data'!Z:Z))</f>
        <v>59</v>
      </c>
      <c r="W38" s="289"/>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6"/>
      <c r="K39" s="94" t="str">
        <f>IF(Q39="","",IF('Filtered Data'!I8="D",IF($L$35&gt;=L39,"J","L"),IF('Filtered Data'!I8="A",IF($L$35&lt;=L39,"J","L"))))</f>
        <v>J</v>
      </c>
      <c r="L39" s="290">
        <f>IF('Filtered Data'!D1="L","",IF('Filtered Data'!D1="SD",'Filtered Data'!AJ9,'Filtered Data'!AQ9))</f>
        <v>0.79967532467532465</v>
      </c>
      <c r="M39" s="290"/>
      <c r="N39" s="290"/>
      <c r="O39" s="290"/>
      <c r="P39" s="95"/>
      <c r="Q39" s="289">
        <f>IF(ISERROR(IF('Filtered Data'!D1="L","",IF('Filtered Data'!D1="SD",VLOOKUP(J5,'Filtered Data'!L:AK,26,FALSE),(VLOOKUP(J5,'Filtered Data'!L:AR,33,FALSE))))),"",(IF('Filtered Data'!D1="L","",IF('Filtered Data'!D1="SD",VLOOKUP(J5,'Filtered Data'!L:AK,26,FALSE),(VLOOKUP(J5,'Filtered Data'!L:AR,33,FALSE))))))</f>
        <v>1</v>
      </c>
      <c r="R39" s="289"/>
      <c r="S39" s="96"/>
      <c r="T39" s="98" t="str">
        <f>IF(B39="","","out of")</f>
        <v>out of</v>
      </c>
      <c r="U39" s="98"/>
      <c r="V39" s="289">
        <f>IF('Filtered Data'!D1="L","",IF('Filtered Data'!D1="SD",COUNT('Filtered Data'!AK11:AK333),(COUNT('Filtered Data'!AQ11:AQ333))))</f>
        <v>5</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- 2023 Q4</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5">
        <f>IF('Filtered Data'!$H$8="..",L35,L35*100)</f>
        <v>100</v>
      </c>
      <c r="F48" s="285"/>
      <c r="G48" s="285"/>
      <c r="H48" s="285"/>
      <c r="K48" s="240">
        <f>IF('Filtered Data'!$H$8="..",K$32,K$32*100)</f>
        <v>100</v>
      </c>
      <c r="L48" s="240"/>
      <c r="M48" s="240">
        <f>IF('Filtered Data'!$H$8="..",T$32,T$32*100)</f>
        <v>97.5</v>
      </c>
      <c r="N48" s="240"/>
      <c r="O48" s="240">
        <f>IF('Filtered Data'!$H$8="..",AC$32,AC$32*100)</f>
        <v>80</v>
      </c>
      <c r="P48" s="240"/>
      <c r="AM48" s="6"/>
      <c r="AP48" s="56"/>
    </row>
    <row r="49" spans="2:42">
      <c r="B49" s="5"/>
      <c r="D49" t="str">
        <f>B37</f>
        <v>Districts</v>
      </c>
      <c r="E49" s="285">
        <f>IF('Filtered Data'!$H$8="..",L37,L37*100)</f>
        <v>85.590042678905647</v>
      </c>
      <c r="F49" s="285"/>
      <c r="G49" s="285"/>
      <c r="H49" s="285"/>
      <c r="K49" s="240">
        <f>IF('Filtered Data'!$H$8="..",K$32,K$32*100)</f>
        <v>100</v>
      </c>
      <c r="L49" s="240"/>
      <c r="M49" s="240">
        <f>IF('Filtered Data'!$H$8="..",T$32,T$32*100)</f>
        <v>97.5</v>
      </c>
      <c r="N49" s="240"/>
      <c r="O49" s="240">
        <f>IF('Filtered Data'!$H$8="..",AC$32,AC$32*100)</f>
        <v>80</v>
      </c>
      <c r="P49" s="240"/>
      <c r="AM49" s="6"/>
      <c r="AP49" s="56"/>
    </row>
    <row r="50" spans="2:42">
      <c r="B50" s="5"/>
      <c r="D50" s="64" t="str">
        <f>B39</f>
        <v>Suffolk</v>
      </c>
      <c r="E50" s="285">
        <f>IF('Filtered Data'!$H$8="..",L39,L39*100)</f>
        <v>79.967532467532465</v>
      </c>
      <c r="F50" s="285"/>
      <c r="G50" s="285"/>
      <c r="H50" s="285"/>
      <c r="K50" s="240">
        <f>IF('Filtered Data'!$H$8="..",K$32,K$32*100)</f>
        <v>100</v>
      </c>
      <c r="L50" s="240"/>
      <c r="M50" s="240">
        <f>IF('Filtered Data'!$H$8="..",T$32,T$32*100)</f>
        <v>97.5</v>
      </c>
      <c r="N50" s="240"/>
      <c r="O50" s="240">
        <f>IF('Filtered Data'!$H$8="..",AC$32,AC$32*100)</f>
        <v>80</v>
      </c>
      <c r="P50" s="240"/>
      <c r="AM50" s="6"/>
      <c r="AP50" s="56"/>
    </row>
    <row r="51" spans="2:42">
      <c r="B51" s="5"/>
      <c r="D51" s="228" t="str">
        <f>B38</f>
        <v xml:space="preserve">Predominantly Rural </v>
      </c>
      <c r="E51" s="285">
        <f>IF('Filtered Data'!$H$8="..",L38,L38*100)</f>
        <v>89.048501210764456</v>
      </c>
      <c r="F51" s="285"/>
      <c r="G51" s="285"/>
      <c r="H51" s="285"/>
      <c r="K51" s="240">
        <f>IF('Filtered Data'!$H$8="..",K$32,K$32*100)</f>
        <v>100</v>
      </c>
      <c r="L51" s="240"/>
      <c r="M51" s="240">
        <f>IF('Filtered Data'!$H$8="..",T$32,T$32*100)</f>
        <v>97.5</v>
      </c>
      <c r="N51" s="240"/>
      <c r="O51" s="240">
        <f>IF('Filtered Data'!$H$8="..",AC$32,AC$32*100)</f>
        <v>80</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- 2023 Q4</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Amber Valley</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Babergh</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S</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Basildon</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Basingstoke &amp; Deane</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Boston</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S</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Brentwood</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Broxbourne</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Burnley</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Cambridge</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Charnwood</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Chichester</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v>
      </c>
      <c r="V76" s="242"/>
      <c r="W76" s="242"/>
      <c r="X76" s="242"/>
      <c r="Y76" s="132" t="str">
        <f>IF((VLOOKUP(E76,classifications!C:K,9,FALSE))="Sparse","S","")</f>
        <v>S</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Chorley</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Colchester</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Crawley</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v>
      </c>
      <c r="V79" s="242"/>
      <c r="W79" s="242"/>
      <c r="X79" s="242"/>
      <c r="Y79" s="132" t="str">
        <f>IF((VLOOKUP(E79,classifications!C:K,9,FALSE))="Sparse","S","")</f>
        <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Dartford</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v>
      </c>
      <c r="V80" s="242"/>
      <c r="W80" s="242"/>
      <c r="X80" s="242"/>
      <c r="Y80" s="132" t="str">
        <f>IF((VLOOKUP(E80,classifications!C:K,9,FALSE))="Sparse","S","")</f>
        <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Derbyshire Dales</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v>
      </c>
      <c r="V81" s="242"/>
      <c r="W81" s="242"/>
      <c r="X81" s="242"/>
      <c r="Y81" s="132" t="str">
        <f>IF((VLOOKUP(E81,classifications!C:K,9,FALSE))="Sparse","S","")</f>
        <v>S</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East Cambridgeshire</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v>
      </c>
      <c r="V82" s="242"/>
      <c r="W82" s="242"/>
      <c r="X82" s="242"/>
      <c r="Y82" s="132" t="str">
        <f>IF((VLOOKUP(E82,classifications!C:K,9,FALSE))="Sparse","S","")</f>
        <v>S</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East Hampshire</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Eastleigh</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Elmbridge</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t="str">
        <f>IF(Q37&lt;=MAX(B66:D85),"",Q37)</f>
        <v/>
      </c>
      <c r="C86" s="317"/>
      <c r="D86" s="317"/>
      <c r="E86" s="244" t="str">
        <f>IF(B86="","",VLOOKUP(B86,'Filtered Data'!K:L,2,FALSE))</f>
        <v/>
      </c>
      <c r="F86" s="244"/>
      <c r="G86" s="244"/>
      <c r="H86" s="244"/>
      <c r="I86" s="244"/>
      <c r="J86" s="244"/>
      <c r="K86" s="244"/>
      <c r="L86" s="244"/>
      <c r="M86" s="244"/>
      <c r="N86" s="244"/>
      <c r="O86" s="244"/>
      <c r="P86" s="244"/>
      <c r="Q86" s="244"/>
      <c r="R86" s="244"/>
      <c r="S86" s="244"/>
      <c r="T86" s="244"/>
      <c r="U86" s="261" t="str">
        <f>IF(B86="","",L35)</f>
        <v/>
      </c>
      <c r="V86" s="261"/>
      <c r="W86" s="261"/>
      <c r="X86" s="261"/>
      <c r="Y86" s="132" t="str">
        <f>IF(B86="","",IF((VLOOKUP(E86,classifications!C:K,9,FALSE))="Sparse","S",""))</f>
        <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Babergh</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42"/>
      <c r="W92" s="242"/>
      <c r="X92" s="242"/>
      <c r="Y92" s="133" t="str">
        <f>IF(E92="","",IF((VLOOKUP(E92,classifications!C:K,9,FALSE))="Sparse","S",""))</f>
        <v>S</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West Suffolk</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0.90909090909090906</v>
      </c>
      <c r="V93" s="242"/>
      <c r="W93" s="242"/>
      <c r="X93" s="242"/>
      <c r="Y93" s="133" t="str">
        <f>IF(E93="","",IF((VLOOKUP(E93,classifications!C:K,9,FALSE))="Sparse","S",""))</f>
        <v>S</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East Suffolk</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0.875</v>
      </c>
      <c r="V94" s="242"/>
      <c r="W94" s="242"/>
      <c r="X94" s="242"/>
      <c r="Y94" s="133" t="str">
        <f>IF(E94="","",IF((VLOOKUP(E94,classifications!C:K,9,FALSE))="Sparse","S",""))</f>
        <v>S</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Mid Suffolk</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0.7142857142857143</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Ipswich</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0.5</v>
      </c>
      <c r="V96" s="242"/>
      <c r="W96" s="242"/>
      <c r="X96" s="242"/>
      <c r="Y96" s="133" t="str">
        <f>IF(E96="","",IF((VLOOKUP(E96,classifications!C:K,9,FALSE))="Sparse","S",""))</f>
        <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t="str">
        <f>IF('Filtered Data'!$D$1="MD","",IF('Filtered Data'!$D$1="SC","",IF('Filtered Data'!$D$1="UA",'Filtered Data'!AS16,'Filtered Data'!AL16)))</f>
        <v/>
      </c>
      <c r="C97" s="252"/>
      <c r="D97" s="252"/>
      <c r="E97" s="244" t="str">
        <f>IF(B97="","",IF('Filtered Data'!$D$1="UA",VLOOKUP(B97,'Filtered Data'!AS:AU,2,FALSE),VLOOKUP(B97,'Filtered Data'!AL:AN,2,FALSE)))</f>
        <v/>
      </c>
      <c r="F97" s="244"/>
      <c r="G97" s="244"/>
      <c r="H97" s="244"/>
      <c r="I97" s="244"/>
      <c r="J97" s="244"/>
      <c r="K97" s="244"/>
      <c r="L97" s="244"/>
      <c r="M97" s="244"/>
      <c r="N97" s="244"/>
      <c r="O97" s="244"/>
      <c r="P97" s="244"/>
      <c r="Q97" s="244"/>
      <c r="R97" s="244"/>
      <c r="S97" s="244"/>
      <c r="T97" s="244"/>
      <c r="U97" s="242"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t="str">
        <f>IF('Filtered Data'!$D$1="MD","",IF('Filtered Data'!$D$1="SC","",IF('Filtered Data'!$D$1="UA",'Filtered Data'!AS17,'Filtered Data'!AL17)))</f>
        <v/>
      </c>
      <c r="C98" s="252"/>
      <c r="D98" s="252"/>
      <c r="E98" s="244" t="str">
        <f>IF(B98="","",IF('Filtered Data'!$D$1="UA",VLOOKUP(B98,'Filtered Data'!AS:AU,2,FALSE),VLOOKUP(B98,'Filtered Data'!AL:AN,2,FALSE)))</f>
        <v/>
      </c>
      <c r="F98" s="244"/>
      <c r="G98" s="244"/>
      <c r="H98" s="244"/>
      <c r="I98" s="244"/>
      <c r="J98" s="244"/>
      <c r="K98" s="244"/>
      <c r="L98" s="244"/>
      <c r="M98" s="244"/>
      <c r="N98" s="244"/>
      <c r="O98" s="244"/>
      <c r="P98" s="244"/>
      <c r="Q98" s="244"/>
      <c r="R98" s="244"/>
      <c r="S98" s="244"/>
      <c r="T98" s="244"/>
      <c r="U98" s="242"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t="str">
        <f>IF('Filtered Data'!$D$1="MD","",IF('Filtered Data'!$D$1="SC","",IF('Filtered Data'!$D$1="UA",'Filtered Data'!AS18,'Filtered Data'!AL18)))</f>
        <v/>
      </c>
      <c r="C99" s="252"/>
      <c r="D99" s="252"/>
      <c r="E99" s="244" t="str">
        <f>IF(B99="","",IF('Filtered Data'!$D$1="UA",VLOOKUP(B99,'Filtered Data'!AS:AU,2,FALSE),VLOOKUP(B99,'Filtered Data'!AL:AN,2,FALSE)))</f>
        <v/>
      </c>
      <c r="F99" s="244"/>
      <c r="G99" s="244"/>
      <c r="H99" s="244"/>
      <c r="I99" s="244"/>
      <c r="J99" s="244"/>
      <c r="K99" s="244"/>
      <c r="L99" s="244"/>
      <c r="M99" s="244"/>
      <c r="N99" s="244"/>
      <c r="O99" s="244"/>
      <c r="P99" s="244"/>
      <c r="Q99" s="244"/>
      <c r="R99" s="244"/>
      <c r="S99" s="244"/>
      <c r="T99" s="244"/>
      <c r="U99" s="242"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0.79967532467532465</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- 2023 Q4</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39">
        <f>IF('Filtered Data'!H8="..",L35,L35*100)</f>
        <v>100</v>
      </c>
      <c r="H118" s="239"/>
      <c r="I118" s="239"/>
      <c r="J118" s="239"/>
      <c r="K118" s="239"/>
      <c r="M118" s="240">
        <f>K$48</f>
        <v>100</v>
      </c>
      <c r="N118" s="240"/>
      <c r="O118" s="240">
        <f>M$48</f>
        <v>97.5</v>
      </c>
      <c r="P118" s="240"/>
      <c r="Q118" s="240">
        <f>O$48</f>
        <v>80</v>
      </c>
      <c r="R118" s="240"/>
      <c r="AN118" s="6"/>
    </row>
    <row r="119" spans="2:40" ht="12" customHeight="1">
      <c r="B119" s="5"/>
      <c r="F119" t="s">
        <v>380</v>
      </c>
      <c r="G119" s="239">
        <f>IF('Filtered Data'!H8="%%",(AVERAGEIF('Filtered Data'!AA$10:AA$333,$F119,'Filtered Data'!M$10:M$333))*100,(AVERAGEIF('Filtered Data'!AA$10:AA$333,$F119,'Filtered Data'!M$10:M$333)))</f>
        <v>89.075199507501765</v>
      </c>
      <c r="H119" s="239"/>
      <c r="I119" s="239"/>
      <c r="J119" s="239"/>
      <c r="K119" s="239"/>
      <c r="M119" s="240">
        <f>K$48</f>
        <v>100</v>
      </c>
      <c r="N119" s="240"/>
      <c r="O119" s="240">
        <f>M$48</f>
        <v>97.5</v>
      </c>
      <c r="P119" s="240"/>
      <c r="Q119" s="240">
        <f>O$48</f>
        <v>80</v>
      </c>
      <c r="R119" s="240"/>
      <c r="AN119" s="6"/>
    </row>
    <row r="120" spans="2:40" ht="12" customHeight="1">
      <c r="B120" s="5"/>
      <c r="F120" t="s">
        <v>382</v>
      </c>
      <c r="G120" s="239">
        <f>IF('Filtered Data'!H8="%%",(AVERAGEIF('Filtered Data'!AA$10:AA$333,$F120,'Filtered Data'!M$10:M$333))*100,(AVERAGEIF('Filtered Data'!AA$10:AA$333,$F120,'Filtered Data'!M$10:M$333)))</f>
        <v>82.331632653061206</v>
      </c>
      <c r="H120" s="239"/>
      <c r="I120" s="239"/>
      <c r="J120" s="239"/>
      <c r="K120" s="239"/>
      <c r="M120" s="240">
        <f>K$48</f>
        <v>100</v>
      </c>
      <c r="N120" s="240"/>
      <c r="O120" s="240">
        <f>M$48</f>
        <v>97.5</v>
      </c>
      <c r="P120" s="240"/>
      <c r="Q120" s="240">
        <f>O$48</f>
        <v>80</v>
      </c>
      <c r="R120" s="240"/>
      <c r="AN120" s="6"/>
    </row>
    <row r="121" spans="2:40" ht="12" customHeight="1">
      <c r="B121" s="5"/>
      <c r="F121" t="s">
        <v>892</v>
      </c>
      <c r="G121" s="239">
        <f>IF('Filtered Data'!H8="%%",(AVERAGEIF('Filtered Data'!AA$10:AA$333,$F121,'Filtered Data'!M$10:M$333))*100,(AVERAGEIF('Filtered Data'!AA$10:AA$333,$F121,'Filtered Data'!M$10:M$333)))</f>
        <v>86.276889776889789</v>
      </c>
      <c r="H121" s="239"/>
      <c r="I121" s="239"/>
      <c r="J121" s="239"/>
      <c r="K121" s="239"/>
      <c r="M121" s="240">
        <f>K$48</f>
        <v>100</v>
      </c>
      <c r="N121" s="240"/>
      <c r="O121" s="240">
        <f>M$48</f>
        <v>97.5</v>
      </c>
      <c r="P121" s="240"/>
      <c r="Q121" s="240">
        <f>O$48</f>
        <v>80</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9tZa8LZPC9ac6AHXHE8hjrEmn9/XToGMyuGwZKKxNAvgqdkplyQbXFuCf+OGP7yWoiZi1MJYEeseQlxDGt9Trw==" saltValue="aZkzViFTaYYXmnT1Efy/Bg=="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2023 Q4</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0</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Babergh</v>
      </c>
      <c r="Q8" s="102">
        <f>VLOOKUP(D3,L11:N333,3,FALSE)</f>
        <v>100</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0.85590042678905642</v>
      </c>
      <c r="N9" s="81"/>
      <c r="O9" s="84" t="s">
        <v>340</v>
      </c>
      <c r="P9" s="84" t="s">
        <v>351</v>
      </c>
      <c r="Q9" s="84" t="s">
        <v>352</v>
      </c>
      <c r="R9" s="86" t="s">
        <v>399</v>
      </c>
      <c r="S9" s="36"/>
      <c r="T9" s="168" t="s">
        <v>819</v>
      </c>
      <c r="U9" s="169">
        <f>IF($H$8="%.",(AVERAGE(U11:U333))/100,(AVERAGE(U11:U333)))</f>
        <v>0.88377314111009764</v>
      </c>
      <c r="V9" s="170"/>
      <c r="W9" s="170"/>
      <c r="X9" s="79" t="str">
        <f>"Lower Level Ranking for Authorites in "&amp;H3&amp;" &amp; are a "&amp;F3</f>
        <v>Lower Level Ranking for Authorites in Predominantly Rural  &amp; are a SD</v>
      </c>
      <c r="Y9" s="81">
        <f>IF($H$8="%.",(AVERAGE(Y11:Y333))/100,(AVERAGE(Y11:Y333)))</f>
        <v>0.89048501210764452</v>
      </c>
      <c r="Z9" s="80"/>
      <c r="AA9" s="175" t="s">
        <v>378</v>
      </c>
      <c r="AB9" s="169">
        <f>IF($H$8="%.",(AVERAGE(AB11:AB333))/100,(AVERAGE(AB11:AB333)))</f>
        <v>0.89075199507501768</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0.79967532467532465</v>
      </c>
      <c r="AK9" s="80"/>
      <c r="AL9" s="44"/>
      <c r="AM9"/>
      <c r="AN9"/>
      <c r="AP9" s="79" t="str">
        <f>"Regional Ranking in for "&amp;F3</f>
        <v>Regional Ranking in for SD</v>
      </c>
      <c r="AQ9" s="81">
        <f>IF($H$8="%.",(AVERAGE(AQ11:AQ333))/100,(AVERAGE(AQ11:AQ333)))</f>
        <v>0.87253560918719286</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100</v>
      </c>
      <c r="P10" s="88">
        <f>QUARTILE(N:N,2)</f>
        <v>97.5</v>
      </c>
      <c r="Q10" s="88">
        <f>IF(I8="A",QUARTILE(N:N,3),QUARTILE(N:N,1))</f>
        <v>80</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2023 Q4</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0</v>
      </c>
      <c r="G11" s="15"/>
      <c r="H11" s="41">
        <f t="shared" ref="H11:H74" si="1">IF(D11=$D$1,HLOOKUP($D$6,$AX$10:$ZZ$337,ROW()-9,FALSE),"")</f>
        <v>0</v>
      </c>
      <c r="I11" s="73">
        <f>IF(H11="","",IF($I$8="A",(RANK(H11,H$11:H$333,1)+COUNTIF(H$11:H11,H11)-1),(RANK(H11,H$11:H$333)+COUNTIF(H$11:H11,H11)-1)))</f>
        <v>159</v>
      </c>
      <c r="J11" s="40"/>
      <c r="K11" s="35">
        <v>1</v>
      </c>
      <c r="L11" t="str">
        <f t="shared" ref="L11:L74" si="2">IF(K11="","",INDEX(C$11:C$327,MATCH(K11,I$11:I$333,0)))</f>
        <v>Amber Valley</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100</v>
      </c>
      <c r="AH11" s="46" t="e">
        <f>AE11</f>
        <v>#N/A</v>
      </c>
      <c r="AI11" s="5" t="str">
        <f>IF(L11="","",VLOOKUP($L11,classifications!$C:$J,8,FALSE))</f>
        <v>Derbyshire</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Babergh</v>
      </c>
      <c r="AN11">
        <f t="shared" ref="AN11:AN74" si="7">(VLOOKUP(AM11,L:M,2,FALSE))</f>
        <v>100</v>
      </c>
      <c r="AP11" s="5" t="str">
        <f>IF(L11="","",VLOOKUP($L11,classifications!$C:$E,3,FALSE))</f>
        <v>East Midlands</v>
      </c>
      <c r="AQ11" s="42" t="str">
        <f>IF(AP11=$G$3,$M11,"")</f>
        <v/>
      </c>
      <c r="AR11" s="39" t="str">
        <f>IF(AQ11="","",IF(I$8="A",(RANK(AQ11,AQ$11:AQ$333,1)+COUNTIF(AQ$11:AQ11,AQ11)-1),(RANK(AQ11,AQ$11:AQ$333)+COUNTIF(AQ$11:AQ11,AQ11)-1)))</f>
        <v/>
      </c>
      <c r="AS11" s="39">
        <v>1</v>
      </c>
      <c r="AT11" s="39" t="str">
        <f t="shared" ref="AT11:AT74" si="8">IF(AS11="","",INDEX(L$11:L$333,MATCH(AS11,AR$11:AR$333,0)))</f>
        <v>Babergh</v>
      </c>
      <c r="AU11" s="42">
        <f t="shared" ref="AU11:AU74" si="9">IF(AT11="","",VLOOKUP(AT11,L:M,2,FALSE))</f>
        <v>100</v>
      </c>
      <c r="AX11">
        <f>HLOOKUP($AX$9&amp;$AX$10,Data!$A$1:$ZT$1975,(MATCH($C11,Data!$A$1:$A$1975,0)),FALSE)</f>
        <v>0</v>
      </c>
    </row>
    <row r="12" spans="1:735">
      <c r="A12" s="55" t="str">
        <f>$D$1&amp;2</f>
        <v>SD2</v>
      </c>
      <c r="B12" s="56" t="str">
        <f>IF(ISERROR(VLOOKUP(A12,classifications!A:C,3,FALSE)),0,VLOOKUP(A12,classifications!A:C,3,FALSE))</f>
        <v>Boston</v>
      </c>
      <c r="C12" t="s">
        <v>899</v>
      </c>
      <c r="D12" t="str">
        <f>VLOOKUP($C12,classifications!$C:$J,4,FALSE)</f>
        <v>UA</v>
      </c>
      <c r="E12" t="str">
        <f>VLOOKUP(C12,classifications!C:K,9,FALSE)</f>
        <v>Sparse</v>
      </c>
      <c r="F12">
        <f t="shared" si="0"/>
        <v>88.235294117647058</v>
      </c>
      <c r="G12" s="15"/>
      <c r="H12" s="41" t="str">
        <f t="shared" si="1"/>
        <v/>
      </c>
      <c r="I12" s="73" t="str">
        <f>IF(H12="","",IF($I$8="A",(RANK(H12,H$11:H$333,1)+COUNTIF(H$11:H12,H12)-1),(RANK(H12,H$11:H$333)+COUNTIF(H$11:H12,H12)-1)))</f>
        <v/>
      </c>
      <c r="J12" s="40"/>
      <c r="K12" s="35">
        <f t="shared" ref="K12:K75" si="10">IF(K11="","",IF(K11+1&gt;(COUNT(H$11:H$333)),"",K11+1))</f>
        <v>2</v>
      </c>
      <c r="L12" t="str">
        <f t="shared" si="2"/>
        <v>Babergh</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u</v>
      </c>
      <c r="T12" s="166" t="str">
        <f>IF(L12="","",VLOOKUP(L12,classifications!C:K,9,FALSE))</f>
        <v>Sparse</v>
      </c>
      <c r="U12" s="167">
        <f t="shared" ref="U12" si="13">IF(T12="Sparse",M12,"")</f>
        <v>100</v>
      </c>
      <c r="V12" s="173">
        <f>IF(U12="","",IF($I$8="A",(RANK(U12,U$11:U$333)+COUNTIF(U$11:U12,U12)-1),(RANK(U12,U$11:U$333,1)+COUNTIF(U$11:U12,U12)-1)))</f>
        <v>28</v>
      </c>
      <c r="W12" s="174"/>
      <c r="X12" s="5" t="str">
        <f>IF(L12="","",VLOOKUP($L12,classifications!$C:$J,6,FALSE))</f>
        <v xml:space="preserve">Predominantly Rural </v>
      </c>
      <c r="Y12">
        <f t="shared" si="4"/>
        <v>100</v>
      </c>
      <c r="Z12" s="39">
        <f>IF(Y12="","",IF(I$8="A",(RANK(Y12,Y$11:Y$333,1)+COUNTIF(Y$11:Y12,Y12)-1),(RANK(Y12,Y$11:Y$333)+COUNTIF(Y$11:Y12,Y12)-1)))</f>
        <v>1</v>
      </c>
      <c r="AA12" s="177" t="str">
        <f>IF(L12="","",VLOOKUP($L12,classifications!C:I,7,FALSE))</f>
        <v>Predominantly Rural</v>
      </c>
      <c r="AB12" s="173">
        <f t="shared" ref="AB12" si="14">IF(AA12=$J$3,M12,"")</f>
        <v>100</v>
      </c>
      <c r="AC12" s="173">
        <f>IF(AB12="","",IF($I$8="A",(RANK(AB12,AB$11:AB$333)+COUNTIF(AB$11:AB12,AB12)-1),(RANK(AB12,AB$11:AB$333,1)+COUNTIF(AB$11:AB12,AB12)-1)))</f>
        <v>35</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Suffolk</v>
      </c>
      <c r="AJ12" s="42">
        <f t="shared" si="5"/>
        <v>100</v>
      </c>
      <c r="AK12" s="39">
        <f>IF(AJ12="","",IF(I$8="A",(RANK(AJ12,AJ$11:AJ$333,1)+COUNTIF(AJ$11:AJ12,AJ12)-1),(RANK(AJ12,AJ$11:AJ$333)+COUNTIF(AJ$11:AJ12,AJ12)-1)))</f>
        <v>1</v>
      </c>
      <c r="AL12" s="3">
        <f t="shared" ref="AL12:AL75" si="16">IF(AL11="","",IF(AL11+1&gt;(COUNT(AJ$11:AJ$333)),"",AL11+1))</f>
        <v>2</v>
      </c>
      <c r="AM12" t="str">
        <f t="shared" si="6"/>
        <v>West Suffolk</v>
      </c>
      <c r="AN12">
        <f t="shared" si="7"/>
        <v>90.909090909090907</v>
      </c>
      <c r="AP12" s="5" t="str">
        <f>IF(L12="","",VLOOKUP($L12,classifications!$C:$E,3,FALSE))</f>
        <v>East of England</v>
      </c>
      <c r="AQ12" s="42">
        <f t="shared" ref="AQ12" si="17">IF(AP12=$G$3,$M12,"")</f>
        <v>100</v>
      </c>
      <c r="AR12" s="39">
        <f>IF(AQ12="","",IF(I$8="A",(RANK(AQ12,AQ$11:AQ$333,1)+COUNTIF(AQ$11:AQ12,AQ12)-1),(RANK(AQ12,AQ$11:AQ$333)+COUNTIF(AQ$11:AQ12,AQ12)-1)))</f>
        <v>1</v>
      </c>
      <c r="AS12" s="3">
        <f t="shared" ref="AS12:AS75" si="18">IF(AS11="","",IF(AS11+1&gt;(COUNT(AQ$11:AQ$333)),"",AS11+1))</f>
        <v>2</v>
      </c>
      <c r="AT12" s="39" t="str">
        <f t="shared" si="8"/>
        <v>Basildon</v>
      </c>
      <c r="AU12" s="42">
        <f t="shared" si="9"/>
        <v>100</v>
      </c>
      <c r="AX12">
        <f>HLOOKUP($AX$9&amp;$AX$10,Data!$A$1:$ZT$1975,(MATCH($C12,Data!$A$1:$A$1975,0)),FALSE)</f>
        <v>88.235294117647058</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100</v>
      </c>
      <c r="G13" s="15"/>
      <c r="H13" s="41">
        <f t="shared" si="1"/>
        <v>100</v>
      </c>
      <c r="I13" s="73">
        <f>IF(H13="","",IF($I$8="A",(RANK(H13,H$11:H$333,1)+COUNTIF(H$11:H13,H13)-1),(RANK(H13,H$11:H$333)+COUNTIF(H$11:H13,H13)-1)))</f>
        <v>1</v>
      </c>
      <c r="J13" s="40"/>
      <c r="K13" s="35">
        <f t="shared" si="10"/>
        <v>3</v>
      </c>
      <c r="L13" t="str">
        <f t="shared" si="2"/>
        <v>Basildon</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
      </c>
      <c r="T13" s="166">
        <f>IF(L13="","",VLOOKUP(L13,classifications!C:K,9,FALSE))</f>
        <v>0</v>
      </c>
      <c r="U13" s="167" t="str">
        <f t="shared" ref="U13:U57" si="25">IF(T13="Sparse",M13,"")</f>
        <v/>
      </c>
      <c r="V13" s="173" t="str">
        <f>IF(U13="","",IF($I$8="A",(RANK(U13,U$11:U$333)+COUNTIF(U$11:U13,U13)-1),(RANK(U13,U$11:U$333,1)+COUNTIF(U$11:U13,U13)-1)))</f>
        <v/>
      </c>
      <c r="W13" s="174"/>
      <c r="X13" s="5" t="str">
        <f>IF(L13="","",VLOOKUP($L13,classifications!$C:$J,6,FALSE))</f>
        <v>Predominantly Urban</v>
      </c>
      <c r="Y13" t="str">
        <f t="shared" ref="Y13:Y57" si="26">IF($D$1="UA",IF(X13="Predominantly Rural ",M13,IF(X13="Predominantly Rural ",M13,IF(X13="Urban with Significant Rural",M13,""))),IF($D$1="SD",IF(X13=$H$3,M13,"")))</f>
        <v/>
      </c>
      <c r="Z13" s="39" t="str">
        <f>IF(Y13="","",IF(I$8="A",(RANK(Y13,Y$11:Y$333,1)+COUNTIF(Y$11:Y13,Y13)-1),(RANK(Y13,Y$11:Y$333)+COUNTIF(Y$11:Y13,Y13)-1)))</f>
        <v/>
      </c>
      <c r="AA13" s="177" t="str">
        <f>IF(L13="","",VLOOKUP($L13,classifications!C:I,7,FALSE))</f>
        <v>Predominantly Urban</v>
      </c>
      <c r="AB13" s="173" t="str">
        <f t="shared" ref="AB13:AB57" si="27">IF(AA13=$J$3,M13,"")</f>
        <v/>
      </c>
      <c r="AC13" s="173" t="str">
        <f>IF(AB13="","",IF($I$8="A",(RANK(AB13,AB$11:AB$333)+COUNTIF(AB$11:AB13,AB13)-1),(RANK(AB13,AB$11:AB$333,1)+COUNTIF(AB$11:AB13,AB13)-1)))</f>
        <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Essex</v>
      </c>
      <c r="AJ13" s="42" t="str">
        <f t="shared" ref="AJ13:AJ57" si="29">IF(AI13=$I$3,M13,"")</f>
        <v/>
      </c>
      <c r="AK13" s="39" t="str">
        <f>IF(AJ13="","",IF(I$8="A",(RANK(AJ13,AJ$11:AJ$333,1)+COUNTIF(AJ$11:AJ13,AJ13)-1),(RANK(AJ13,AJ$11:AJ$333)+COUNTIF(AJ$11:AJ13,AJ13)-1)))</f>
        <v/>
      </c>
      <c r="AL13" s="3">
        <f t="shared" si="16"/>
        <v>3</v>
      </c>
      <c r="AM13" t="str">
        <f t="shared" si="6"/>
        <v>East Suffolk</v>
      </c>
      <c r="AN13">
        <f t="shared" si="7"/>
        <v>87.5</v>
      </c>
      <c r="AP13" s="5" t="str">
        <f>IF(L13="","",VLOOKUP($L13,classifications!$C:$E,3,FALSE))</f>
        <v>East of England</v>
      </c>
      <c r="AQ13" s="42">
        <f t="shared" ref="AQ13:AQ57" si="30">IF(AP13=$G$3,$M13,"")</f>
        <v>100</v>
      </c>
      <c r="AR13" s="39">
        <f>IF(AQ13="","",IF(I$8="A",(RANK(AQ13,AQ$11:AQ$333,1)+COUNTIF(AQ$11:AQ13,AQ13)-1),(RANK(AQ13,AQ$11:AQ$333)+COUNTIF(AQ$11:AQ13,AQ13)-1)))</f>
        <v>2</v>
      </c>
      <c r="AS13" s="3">
        <f t="shared" si="18"/>
        <v>3</v>
      </c>
      <c r="AT13" s="39" t="str">
        <f t="shared" si="8"/>
        <v>Brentwood</v>
      </c>
      <c r="AU13" s="42">
        <f t="shared" si="9"/>
        <v>100</v>
      </c>
      <c r="AX13">
        <f>HLOOKUP($AX$9&amp;$AX$10,Data!$A$1:$ZT$1975,(MATCH($C13,Data!$A$1:$A$1975,0)),FALSE)</f>
        <v>100</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83.333333333333343</v>
      </c>
      <c r="G14" s="15"/>
      <c r="H14" s="41">
        <f t="shared" si="1"/>
        <v>83.333333333333343</v>
      </c>
      <c r="I14" s="73">
        <f>IF(H14="","",IF($I$8="A",(RANK(H14,H$11:H$333,1)+COUNTIF(H$11:H14,H14)-1),(RANK(H14,H$11:H$333)+COUNTIF(H$11:H14,H14)-1)))</f>
        <v>112</v>
      </c>
      <c r="J14" s="40"/>
      <c r="K14" s="35">
        <f t="shared" si="10"/>
        <v>4</v>
      </c>
      <c r="L14" t="str">
        <f t="shared" si="2"/>
        <v>Basingstoke &amp; Deane</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Urban with Significant Rural</v>
      </c>
      <c r="Y14" t="str">
        <f t="shared" si="26"/>
        <v/>
      </c>
      <c r="Z14" s="39" t="str">
        <f>IF(Y14="","",IF(I$8="A",(RANK(Y14,Y$11:Y$333,1)+COUNTIF(Y$11:Y14,Y14)-1),(RANK(Y14,Y$11:Y$333)+COUNTIF(Y$11:Y14,Y14)-1)))</f>
        <v/>
      </c>
      <c r="AA14" s="177" t="str">
        <f>IF(L14="","",VLOOKUP($L14,classifications!C:I,7,FALSE))</f>
        <v>Urban with Significant Rural</v>
      </c>
      <c r="AB14" s="173" t="str">
        <f t="shared" si="27"/>
        <v/>
      </c>
      <c r="AC14" s="173" t="str">
        <f>IF(AB14="","",IF($I$8="A",(RANK(AB14,AB$11:AB$333)+COUNTIF(AB$11:AB14,AB14)-1),(RANK(AB14,AB$11:AB$333,1)+COUNTIF(AB$11:AB14,AB14)-1)))</f>
        <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Hampshire</v>
      </c>
      <c r="AJ14" s="42" t="str">
        <f t="shared" si="29"/>
        <v/>
      </c>
      <c r="AK14" s="39" t="str">
        <f>IF(AJ14="","",IF(I$8="A",(RANK(AJ14,AJ$11:AJ$333,1)+COUNTIF(AJ$11:AJ14,AJ14)-1),(RANK(AJ14,AJ$11:AJ$333)+COUNTIF(AJ$11:AJ14,AJ14)-1)))</f>
        <v/>
      </c>
      <c r="AL14" s="3">
        <f t="shared" si="16"/>
        <v>4</v>
      </c>
      <c r="AM14" t="str">
        <f t="shared" si="6"/>
        <v>Mid Suffolk</v>
      </c>
      <c r="AN14">
        <f t="shared" si="7"/>
        <v>71.428571428571431</v>
      </c>
      <c r="AP14" s="5" t="str">
        <f>IF(L14="","",VLOOKUP($L14,classifications!$C:$E,3,FALSE))</f>
        <v>South East</v>
      </c>
      <c r="AQ14" s="42" t="str">
        <f t="shared" si="30"/>
        <v/>
      </c>
      <c r="AR14" s="39" t="str">
        <f>IF(AQ14="","",IF(I$8="A",(RANK(AQ14,AQ$11:AQ$333,1)+COUNTIF(AQ$11:AQ14,AQ14)-1),(RANK(AQ14,AQ$11:AQ$333)+COUNTIF(AQ$11:AQ14,AQ14)-1)))</f>
        <v/>
      </c>
      <c r="AS14" s="3">
        <f t="shared" si="18"/>
        <v>4</v>
      </c>
      <c r="AT14" s="39" t="str">
        <f t="shared" si="8"/>
        <v>Broxbourne</v>
      </c>
      <c r="AU14" s="42">
        <f t="shared" si="9"/>
        <v>100</v>
      </c>
      <c r="AX14">
        <f>HLOOKUP($AX$9&amp;$AX$10,Data!$A$1:$ZT$1975,(MATCH($C14,Data!$A$1:$A$1975,0)),FALSE)</f>
        <v>83.333333333333343</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80</v>
      </c>
      <c r="G15" s="15"/>
      <c r="H15" s="41">
        <f t="shared" si="1"/>
        <v>80</v>
      </c>
      <c r="I15" s="73">
        <f>IF(H15="","",IF($I$8="A",(RANK(H15,H$11:H$333,1)+COUNTIF(H$11:H15,H15)-1),(RANK(H15,H$11:H$333)+COUNTIF(H$11:H15,H15)-1)))</f>
        <v>120</v>
      </c>
      <c r="J15" s="40"/>
      <c r="K15" s="35">
        <f t="shared" si="10"/>
        <v>5</v>
      </c>
      <c r="L15" t="str">
        <f t="shared" si="2"/>
        <v>Boston</v>
      </c>
      <c r="M15" s="109">
        <f t="shared" si="3"/>
        <v>100</v>
      </c>
      <c r="N15" s="104">
        <f t="shared" si="19"/>
        <v>100</v>
      </c>
      <c r="O15" s="89">
        <f t="shared" si="20"/>
        <v>100</v>
      </c>
      <c r="P15" s="89" t="str">
        <f t="shared" si="21"/>
        <v/>
      </c>
      <c r="Q15" s="89" t="str">
        <f t="shared" si="22"/>
        <v/>
      </c>
      <c r="R15" s="85" t="str">
        <f t="shared" si="23"/>
        <v/>
      </c>
      <c r="S15" s="41" t="str">
        <f t="shared" si="24"/>
        <v/>
      </c>
      <c r="T15" s="166" t="str">
        <f>IF(L15="","",VLOOKUP(L15,classifications!C:K,9,FALSE))</f>
        <v>Sparse</v>
      </c>
      <c r="U15" s="167">
        <f t="shared" si="25"/>
        <v>100</v>
      </c>
      <c r="V15" s="173">
        <f>IF(U15="","",IF($I$8="A",(RANK(U15,U$11:U$333)+COUNTIF(U$11:U15,U15)-1),(RANK(U15,U$11:U$333,1)+COUNTIF(U$11:U15,U15)-1)))</f>
        <v>29</v>
      </c>
      <c r="W15" s="174"/>
      <c r="X15" s="5" t="str">
        <f>IF(L15="","",VLOOKUP($L15,classifications!$C:$J,6,FALSE))</f>
        <v>Urban with Significant Rural</v>
      </c>
      <c r="Y15" t="str">
        <f t="shared" si="26"/>
        <v/>
      </c>
      <c r="Z15" s="39" t="str">
        <f>IF(Y15="","",IF(I$8="A",(RANK(Y15,Y$11:Y$333,1)+COUNTIF(Y$11:Y15,Y15)-1),(RANK(Y15,Y$11:Y$333)+COUNTIF(Y$11:Y15,Y15)-1)))</f>
        <v/>
      </c>
      <c r="AA15" s="177" t="str">
        <f>IF(L15="","",VLOOKUP($L15,classifications!C:I,7,FALSE))</f>
        <v>Urban with Significant Rural</v>
      </c>
      <c r="AB15" s="173" t="str">
        <f t="shared" si="27"/>
        <v/>
      </c>
      <c r="AC15" s="173" t="str">
        <f>IF(AB15="","",IF($I$8="A",(RANK(AB15,AB$11:AB$333)+COUNTIF(AB$11:AB15,AB15)-1),(RANK(AB15,AB$11:AB$333,1)+COUNTIF(AB$11:AB15,AB15)-1)))</f>
        <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Lincolnshire</v>
      </c>
      <c r="AJ15" s="42" t="str">
        <f t="shared" si="29"/>
        <v/>
      </c>
      <c r="AK15" s="39" t="str">
        <f>IF(AJ15="","",IF(I$8="A",(RANK(AJ15,AJ$11:AJ$333,1)+COUNTIF(AJ$11:AJ15,AJ15)-1),(RANK(AJ15,AJ$11:AJ$333)+COUNTIF(AJ$11:AJ15,AJ15)-1)))</f>
        <v/>
      </c>
      <c r="AL15" s="3">
        <f t="shared" si="16"/>
        <v>5</v>
      </c>
      <c r="AM15" t="str">
        <f t="shared" si="6"/>
        <v>Ipswich</v>
      </c>
      <c r="AN15">
        <f t="shared" si="7"/>
        <v>50</v>
      </c>
      <c r="AP15" s="5" t="str">
        <f>IF(L15="","",VLOOKUP($L15,classifications!$C:$E,3,FALSE))</f>
        <v>East Midlands</v>
      </c>
      <c r="AQ15" s="42" t="str">
        <f t="shared" si="30"/>
        <v/>
      </c>
      <c r="AR15" s="39" t="str">
        <f>IF(AQ15="","",IF(I$8="A",(RANK(AQ15,AQ$11:AQ$333,1)+COUNTIF(AQ$11:AQ15,AQ15)-1),(RANK(AQ15,AQ$11:AQ$333)+COUNTIF(AQ$11:AQ15,AQ15)-1)))</f>
        <v/>
      </c>
      <c r="AS15" s="3">
        <f t="shared" si="18"/>
        <v>5</v>
      </c>
      <c r="AT15" s="39" t="str">
        <f t="shared" si="8"/>
        <v>Cambridge</v>
      </c>
      <c r="AU15" s="42">
        <f t="shared" si="9"/>
        <v>100</v>
      </c>
      <c r="AX15">
        <f>HLOOKUP($AX$9&amp;$AX$10,Data!$A$1:$ZT$1975,(MATCH($C15,Data!$A$1:$A$1975,0)),FALSE)</f>
        <v>80</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87.5</v>
      </c>
      <c r="G16" s="15"/>
      <c r="H16" s="41">
        <f t="shared" si="1"/>
        <v>87.5</v>
      </c>
      <c r="I16" s="73">
        <f>IF(H16="","",IF($I$8="A",(RANK(H16,H$11:H$333,1)+COUNTIF(H$11:H16,H16)-1),(RANK(H16,H$11:H$333)+COUNTIF(H$11:H16,H16)-1)))</f>
        <v>99</v>
      </c>
      <c r="J16" s="40"/>
      <c r="K16" s="35">
        <f t="shared" si="10"/>
        <v>6</v>
      </c>
      <c r="L16" t="str">
        <f t="shared" si="2"/>
        <v>Brentwood</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Urban with Significant Rural</v>
      </c>
      <c r="Y16" t="str">
        <f t="shared" si="26"/>
        <v/>
      </c>
      <c r="Z16" s="39" t="str">
        <f>IF(Y16="","",IF(I$8="A",(RANK(Y16,Y$11:Y$333,1)+COUNTIF(Y$11:Y16,Y16)-1),(RANK(Y16,Y$11:Y$333)+COUNTIF(Y$11:Y16,Y16)-1)))</f>
        <v/>
      </c>
      <c r="AA16" s="177" t="str">
        <f>IF(L16="","",VLOOKUP($L16,classifications!C:I,7,FALSE))</f>
        <v>Urban with Significant Rural</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Essex</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East of England</v>
      </c>
      <c r="AQ16" s="42">
        <f t="shared" si="30"/>
        <v>100</v>
      </c>
      <c r="AR16" s="39">
        <f>IF(AQ16="","",IF(I$8="A",(RANK(AQ16,AQ$11:AQ$333,1)+COUNTIF(AQ$11:AQ16,AQ16)-1),(RANK(AQ16,AQ$11:AQ$333)+COUNTIF(AQ$11:AQ16,AQ16)-1)))</f>
        <v>3</v>
      </c>
      <c r="AS16" s="3">
        <f t="shared" si="18"/>
        <v>6</v>
      </c>
      <c r="AT16" s="39" t="str">
        <f t="shared" si="8"/>
        <v>Colchester</v>
      </c>
      <c r="AU16" s="42">
        <f t="shared" si="9"/>
        <v>100</v>
      </c>
      <c r="AX16">
        <f>HLOOKUP($AX$9&amp;$AX$10,Data!$A$1:$ZT$1975,(MATCH($C16,Data!$A$1:$A$1975,0)),FALSE)</f>
        <v>87.5</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100</v>
      </c>
      <c r="G17" s="15"/>
      <c r="H17" s="41">
        <f t="shared" si="1"/>
        <v>100</v>
      </c>
      <c r="I17" s="73">
        <f>IF(H17="","",IF($I$8="A",(RANK(H17,H$11:H$333,1)+COUNTIF(H$11:H17,H17)-1),(RANK(H17,H$11:H$333)+COUNTIF(H$11:H17,H17)-1)))</f>
        <v>2</v>
      </c>
      <c r="J17" s="40"/>
      <c r="K17" s="35">
        <f t="shared" si="10"/>
        <v>7</v>
      </c>
      <c r="L17" t="str">
        <f t="shared" si="2"/>
        <v>Broxbourne</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Predominantly Urban</v>
      </c>
      <c r="Y17" t="str">
        <f t="shared" si="26"/>
        <v/>
      </c>
      <c r="Z17" s="39" t="str">
        <f>IF(Y17="","",IF(I$8="A",(RANK(Y17,Y$11:Y$333,1)+COUNTIF(Y$11:Y17,Y17)-1),(RANK(Y17,Y$11:Y$333)+COUNTIF(Y$11:Y17,Y17)-1)))</f>
        <v/>
      </c>
      <c r="AA17" s="177" t="str">
        <f>IF(L17="","",VLOOKUP($L17,classifications!C:I,7,FALSE))</f>
        <v>Predominantly Urban</v>
      </c>
      <c r="AB17" s="173" t="str">
        <f t="shared" si="27"/>
        <v/>
      </c>
      <c r="AC17" s="173" t="str">
        <f>IF(AB17="","",IF($I$8="A",(RANK(AB17,AB$11:AB$333)+COUNTIF(AB$11:AB17,AB17)-1),(RANK(AB17,AB$11:AB$333,1)+COUNTIF(AB$11:AB17,AB17)-1)))</f>
        <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Hertfordshire</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East of England</v>
      </c>
      <c r="AQ17" s="42">
        <f t="shared" si="30"/>
        <v>100</v>
      </c>
      <c r="AR17" s="39">
        <f>IF(AQ17="","",IF(I$8="A",(RANK(AQ17,AQ$11:AQ$333,1)+COUNTIF(AQ$11:AQ17,AQ17)-1),(RANK(AQ17,AQ$11:AQ$333)+COUNTIF(AQ$11:AQ17,AQ17)-1)))</f>
        <v>4</v>
      </c>
      <c r="AS17" s="3">
        <f t="shared" si="18"/>
        <v>7</v>
      </c>
      <c r="AT17" s="39" t="str">
        <f t="shared" si="8"/>
        <v>East Cambridgeshire</v>
      </c>
      <c r="AU17" s="42">
        <f t="shared" si="9"/>
        <v>100</v>
      </c>
      <c r="AX17">
        <f>HLOOKUP($AX$9&amp;$AX$10,Data!$A$1:$ZT$1975,(MATCH($C17,Data!$A$1:$A$1975,0)),FALSE)</f>
        <v>100</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Burnley</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Lancashire</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North West</v>
      </c>
      <c r="AQ18" s="42" t="str">
        <f t="shared" si="30"/>
        <v/>
      </c>
      <c r="AR18" s="39" t="str">
        <f>IF(AQ18="","",IF(I$8="A",(RANK(AQ18,AQ$11:AQ$333,1)+COUNTIF(AQ$11:AQ18,AQ18)-1),(RANK(AQ18,AQ$11:AQ$333)+COUNTIF(AQ$11:AQ18,AQ18)-1)))</f>
        <v/>
      </c>
      <c r="AS18" s="3">
        <f t="shared" si="18"/>
        <v>8</v>
      </c>
      <c r="AT18" s="39" t="str">
        <f t="shared" si="8"/>
        <v>Epping Forest</v>
      </c>
      <c r="AU18" s="42">
        <f t="shared" si="9"/>
        <v>100</v>
      </c>
      <c r="AX18">
        <f>HLOOKUP($AX$9&amp;$AX$10,Data!$A$1:$ZT$1975,(MATCH($C18,Data!$A$1:$A$1975,0)),FALSE)</f>
        <v>100</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100</v>
      </c>
      <c r="G19" s="15"/>
      <c r="H19" s="41" t="str">
        <f t="shared" si="1"/>
        <v/>
      </c>
      <c r="I19" s="73" t="str">
        <f>IF(H19="","",IF($I$8="A",(RANK(H19,H$11:H$333,1)+COUNTIF(H$11:H19,H19)-1),(RANK(H19,H$11:H$333)+COUNTIF(H$11:H19,H19)-1)))</f>
        <v/>
      </c>
      <c r="J19" s="40"/>
      <c r="K19" s="35">
        <f t="shared" si="10"/>
        <v>9</v>
      </c>
      <c r="L19" t="str">
        <f t="shared" si="2"/>
        <v>Cambridge</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Cambridgeshire</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East of England</v>
      </c>
      <c r="AQ19" s="42">
        <f t="shared" si="30"/>
        <v>100</v>
      </c>
      <c r="AR19" s="39">
        <f>IF(AQ19="","",IF(I$8="A",(RANK(AQ19,AQ$11:AQ$333,1)+COUNTIF(AQ$11:AQ19,AQ19)-1),(RANK(AQ19,AQ$11:AQ$333)+COUNTIF(AQ$11:AQ19,AQ19)-1)))</f>
        <v>5</v>
      </c>
      <c r="AS19" s="3">
        <f t="shared" si="18"/>
        <v>9</v>
      </c>
      <c r="AT19" s="39" t="str">
        <f t="shared" si="8"/>
        <v>Great Yarmouth</v>
      </c>
      <c r="AU19" s="42">
        <f t="shared" si="9"/>
        <v>100</v>
      </c>
      <c r="AX19">
        <f>HLOOKUP($AX$9&amp;$AX$10,Data!$A$1:$ZT$1975,(MATCH($C19,Data!$A$1:$A$1975,0)),FALSE)</f>
        <v>100</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Charnwood</v>
      </c>
      <c r="M20" s="109">
        <f t="shared" si="3"/>
        <v>100</v>
      </c>
      <c r="N20" s="104">
        <f t="shared" si="19"/>
        <v>100</v>
      </c>
      <c r="O20" s="89">
        <f t="shared" si="20"/>
        <v>100</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Leicestershire</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East Midlands</v>
      </c>
      <c r="AQ20" s="42" t="str">
        <f t="shared" si="30"/>
        <v/>
      </c>
      <c r="AR20" s="39" t="str">
        <f>IF(AQ20="","",IF(I$8="A",(RANK(AQ20,AQ$11:AQ$333,1)+COUNTIF(AQ$11:AQ20,AQ20)-1),(RANK(AQ20,AQ$11:AQ$333)+COUNTIF(AQ$11:AQ20,AQ20)-1)))</f>
        <v/>
      </c>
      <c r="AS20" s="3">
        <f t="shared" si="18"/>
        <v>10</v>
      </c>
      <c r="AT20" s="39" t="str">
        <f t="shared" si="8"/>
        <v>Hertsmere</v>
      </c>
      <c r="AU20" s="42">
        <f t="shared" si="9"/>
        <v>100</v>
      </c>
      <c r="AX20">
        <f>HLOOKUP($AX$9&amp;$AX$10,Data!$A$1:$ZT$1975,(MATCH($C20,Data!$A$1:$A$1975,0)),FALSE)</f>
        <v>100</v>
      </c>
    </row>
    <row r="21" spans="1:50">
      <c r="A21" s="55" t="str">
        <f>$D$1&amp;11</f>
        <v>SD11</v>
      </c>
      <c r="B21" s="56" t="str">
        <f>IF(ISERROR(VLOOKUP(A21,classifications!A:C,3,FALSE)),0,VLOOKUP(A21,classifications!A:C,3,FALSE))</f>
        <v>Forest of Dean</v>
      </c>
      <c r="C21" t="s">
        <v>900</v>
      </c>
      <c r="D21" t="str">
        <f>VLOOKUP($C21,classifications!$C:$J,4,FALSE)</f>
        <v>UA</v>
      </c>
      <c r="E21" t="str">
        <f>VLOOKUP(C21,classifications!C:K,9,FALSE)</f>
        <v>Sparse</v>
      </c>
      <c r="F21">
        <f t="shared" si="0"/>
        <v>90.909090909090907</v>
      </c>
      <c r="G21" s="15"/>
      <c r="H21" s="41" t="str">
        <f t="shared" si="1"/>
        <v/>
      </c>
      <c r="I21" s="73" t="str">
        <f>IF(H21="","",IF($I$8="A",(RANK(H21,H$11:H$333,1)+COUNTIF(H$11:H21,H21)-1),(RANK(H21,H$11:H$333)+COUNTIF(H$11:H21,H21)-1)))</f>
        <v/>
      </c>
      <c r="J21" s="40"/>
      <c r="K21" s="35">
        <f t="shared" si="10"/>
        <v>11</v>
      </c>
      <c r="L21" t="str">
        <f t="shared" si="2"/>
        <v>Chichester</v>
      </c>
      <c r="M21" s="109">
        <f t="shared" si="3"/>
        <v>100</v>
      </c>
      <c r="N21" s="104">
        <f t="shared" si="19"/>
        <v>100</v>
      </c>
      <c r="O21" s="89">
        <f t="shared" si="20"/>
        <v>100</v>
      </c>
      <c r="P21" s="89" t="str">
        <f t="shared" si="21"/>
        <v/>
      </c>
      <c r="Q21" s="89" t="str">
        <f t="shared" si="22"/>
        <v/>
      </c>
      <c r="R21" s="85" t="str">
        <f t="shared" si="23"/>
        <v/>
      </c>
      <c r="S21" s="41" t="str">
        <f t="shared" si="24"/>
        <v/>
      </c>
      <c r="T21" s="166" t="str">
        <f>IF(L21="","",VLOOKUP(L21,classifications!C:K,9,FALSE))</f>
        <v>Sparse</v>
      </c>
      <c r="U21" s="167">
        <f t="shared" si="25"/>
        <v>100</v>
      </c>
      <c r="V21" s="173">
        <f>IF(U21="","",IF($I$8="A",(RANK(U21,U$11:U$333)+COUNTIF(U$11:U21,U21)-1),(RANK(U21,U$11:U$333,1)+COUNTIF(U$11:U21,U21)-1)))</f>
        <v>30</v>
      </c>
      <c r="W21" s="174"/>
      <c r="X21" s="5" t="str">
        <f>IF(L21="","",VLOOKUP($L21,classifications!$C:$J,6,FALSE))</f>
        <v xml:space="preserve">Predominantly Rural </v>
      </c>
      <c r="Y21">
        <f t="shared" si="26"/>
        <v>100</v>
      </c>
      <c r="Z21" s="39">
        <f>IF(Y21="","",IF(I$8="A",(RANK(Y21,Y$11:Y$333,1)+COUNTIF(Y$11:Y21,Y21)-1),(RANK(Y21,Y$11:Y$333)+COUNTIF(Y$11:Y21,Y21)-1)))</f>
        <v>2</v>
      </c>
      <c r="AA21" s="177" t="str">
        <f>IF(L21="","",VLOOKUP($L21,classifications!C:I,7,FALSE))</f>
        <v>Predominantly Rural</v>
      </c>
      <c r="AB21" s="173">
        <f t="shared" si="27"/>
        <v>100</v>
      </c>
      <c r="AC21" s="173">
        <f>IF(AB21="","",IF($I$8="A",(RANK(AB21,AB$11:AB$333)+COUNTIF(AB$11:AB21,AB21)-1),(RANK(AB21,AB$11:AB$333,1)+COUNTIF(AB$11:AB21,AB21)-1)))</f>
        <v>36</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West Sussex</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South East</v>
      </c>
      <c r="AQ21" s="42" t="str">
        <f t="shared" si="30"/>
        <v/>
      </c>
      <c r="AR21" s="39" t="str">
        <f>IF(AQ21="","",IF(I$8="A",(RANK(AQ21,AQ$11:AQ$333,1)+COUNTIF(AQ$11:AQ21,AQ21)-1),(RANK(AQ21,AQ$11:AQ$333)+COUNTIF(AQ$11:AQ21,AQ21)-1)))</f>
        <v/>
      </c>
      <c r="AS21" s="3">
        <f t="shared" si="18"/>
        <v>11</v>
      </c>
      <c r="AT21" s="39" t="str">
        <f t="shared" si="8"/>
        <v>North Norfolk</v>
      </c>
      <c r="AU21" s="42">
        <f t="shared" si="9"/>
        <v>100</v>
      </c>
      <c r="AX21">
        <f>HLOOKUP($AX$9&amp;$AX$10,Data!$A$1:$ZT$1975,(MATCH($C21,Data!$A$1:$A$1975,0)),FALSE)</f>
        <v>90.909090909090907</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100</v>
      </c>
      <c r="G22" s="15"/>
      <c r="H22" s="41">
        <f t="shared" si="1"/>
        <v>100</v>
      </c>
      <c r="I22" s="73">
        <f>IF(H22="","",IF($I$8="A",(RANK(H22,H$11:H$333,1)+COUNTIF(H$11:H22,H22)-1),(RANK(H22,H$11:H$333)+COUNTIF(H$11:H22,H22)-1)))</f>
        <v>3</v>
      </c>
      <c r="J22" s="40"/>
      <c r="K22" s="35">
        <f t="shared" si="10"/>
        <v>12</v>
      </c>
      <c r="L22" t="str">
        <f t="shared" si="2"/>
        <v>Chorley</v>
      </c>
      <c r="M22" s="109">
        <f t="shared" si="3"/>
        <v>100</v>
      </c>
      <c r="N22" s="104">
        <f t="shared" si="19"/>
        <v>100</v>
      </c>
      <c r="O22" s="89">
        <f t="shared" si="20"/>
        <v>100</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Urban with Significant Rural</v>
      </c>
      <c r="Y22" t="str">
        <f t="shared" si="26"/>
        <v/>
      </c>
      <c r="Z22" s="39" t="str">
        <f>IF(Y22="","",IF(I$8="A",(RANK(Y22,Y$11:Y$333,1)+COUNTIF(Y$11:Y22,Y22)-1),(RANK(Y22,Y$11:Y$333)+COUNTIF(Y$11:Y22,Y22)-1)))</f>
        <v/>
      </c>
      <c r="AA22" s="177" t="str">
        <f>IF(L22="","",VLOOKUP($L22,classifications!C:I,7,FALSE))</f>
        <v>Urban with Significant Rural</v>
      </c>
      <c r="AB22" s="173" t="str">
        <f t="shared" si="27"/>
        <v/>
      </c>
      <c r="AC22" s="173" t="str">
        <f>IF(AB22="","",IF($I$8="A",(RANK(AB22,AB$11:AB$333)+COUNTIF(AB$11:AB22,AB22)-1),(RANK(AB22,AB$11:AB$333,1)+COUNTIF(AB$11:AB22,AB22)-1)))</f>
        <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Lancashire</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North West</v>
      </c>
      <c r="AQ22" s="42" t="str">
        <f t="shared" si="30"/>
        <v/>
      </c>
      <c r="AR22" s="39" t="str">
        <f>IF(AQ22="","",IF(I$8="A",(RANK(AQ22,AQ$11:AQ$333,1)+COUNTIF(AQ$11:AQ22,AQ22)-1),(RANK(AQ22,AQ$11:AQ$333)+COUNTIF(AQ$11:AQ22,AQ22)-1)))</f>
        <v/>
      </c>
      <c r="AS22" s="3">
        <f t="shared" si="18"/>
        <v>12</v>
      </c>
      <c r="AT22" s="39" t="str">
        <f t="shared" si="8"/>
        <v>Norwich</v>
      </c>
      <c r="AU22" s="42">
        <f t="shared" si="9"/>
        <v>100</v>
      </c>
      <c r="AX22">
        <f>HLOOKUP($AX$9&amp;$AX$10,Data!$A$1:$ZT$1975,(MATCH($C22,Data!$A$1:$A$1975,0)),FALSE)</f>
        <v>100</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100</v>
      </c>
      <c r="G23" s="15"/>
      <c r="H23" s="41">
        <f t="shared" si="1"/>
        <v>100</v>
      </c>
      <c r="I23" s="73">
        <f>IF(H23="","",IF($I$8="A",(RANK(H23,H$11:H$333,1)+COUNTIF(H$11:H23,H23)-1),(RANK(H23,H$11:H$333)+COUNTIF(H$11:H23,H23)-1)))</f>
        <v>4</v>
      </c>
      <c r="J23" s="40"/>
      <c r="K23" s="35">
        <f t="shared" si="10"/>
        <v>13</v>
      </c>
      <c r="L23" t="str">
        <f t="shared" si="2"/>
        <v>Colchester</v>
      </c>
      <c r="M23" s="109">
        <f t="shared" si="3"/>
        <v>100</v>
      </c>
      <c r="N23" s="104">
        <f t="shared" si="19"/>
        <v>100</v>
      </c>
      <c r="O23" s="89">
        <f t="shared" si="20"/>
        <v>100</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Urban with Significant Rural</v>
      </c>
      <c r="Y23" t="str">
        <f t="shared" si="26"/>
        <v/>
      </c>
      <c r="Z23" s="39" t="str">
        <f>IF(Y23="","",IF(I$8="A",(RANK(Y23,Y$11:Y$333,1)+COUNTIF(Y$11:Y23,Y23)-1),(RANK(Y23,Y$11:Y$333)+COUNTIF(Y$11:Y23,Y23)-1)))</f>
        <v/>
      </c>
      <c r="AA23" s="177" t="str">
        <f>IF(L23="","",VLOOKUP($L23,classifications!C:I,7,FALSE))</f>
        <v>Urban with Significant Rural</v>
      </c>
      <c r="AB23" s="173" t="str">
        <f t="shared" si="27"/>
        <v/>
      </c>
      <c r="AC23" s="173" t="str">
        <f>IF(AB23="","",IF($I$8="A",(RANK(AB23,AB$11:AB$333)+COUNTIF(AB$11:AB23,AB23)-1),(RANK(AB23,AB$11:AB$333,1)+COUNTIF(AB$11:AB23,AB23)-1)))</f>
        <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Essex</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East of England</v>
      </c>
      <c r="AQ23" s="42">
        <f t="shared" si="30"/>
        <v>100</v>
      </c>
      <c r="AR23" s="39">
        <f>IF(AQ23="","",IF(I$8="A",(RANK(AQ23,AQ$11:AQ$333,1)+COUNTIF(AQ$11:AQ23,AQ23)-1),(RANK(AQ23,AQ$11:AQ$333)+COUNTIF(AQ$11:AQ23,AQ23)-1)))</f>
        <v>6</v>
      </c>
      <c r="AS23" s="3">
        <f t="shared" si="18"/>
        <v>13</v>
      </c>
      <c r="AT23" s="39" t="str">
        <f t="shared" si="8"/>
        <v>Rochford</v>
      </c>
      <c r="AU23" s="42">
        <f t="shared" si="9"/>
        <v>100</v>
      </c>
      <c r="AX23">
        <f>HLOOKUP($AX$9&amp;$AX$10,Data!$A$1:$ZT$1975,(MATCH($C23,Data!$A$1:$A$1975,0)),FALSE)</f>
        <v>100</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85.714285714285708</v>
      </c>
      <c r="G24" s="15"/>
      <c r="H24" s="41">
        <f t="shared" si="1"/>
        <v>85.714285714285708</v>
      </c>
      <c r="I24" s="73">
        <f>IF(H24="","",IF($I$8="A",(RANK(H24,H$11:H$333,1)+COUNTIF(H$11:H24,H24)-1),(RANK(H24,H$11:H$333)+COUNTIF(H$11:H24,H24)-1)))</f>
        <v>105</v>
      </c>
      <c r="J24" s="40"/>
      <c r="K24" s="35">
        <f t="shared" si="10"/>
        <v>14</v>
      </c>
      <c r="L24" t="str">
        <f t="shared" si="2"/>
        <v>Crawley</v>
      </c>
      <c r="M24" s="109">
        <f t="shared" si="3"/>
        <v>100</v>
      </c>
      <c r="N24" s="104">
        <f t="shared" si="19"/>
        <v>100</v>
      </c>
      <c r="O24" s="89">
        <f t="shared" si="20"/>
        <v>100</v>
      </c>
      <c r="P24" s="89" t="str">
        <f t="shared" si="21"/>
        <v/>
      </c>
      <c r="Q24" s="89" t="str">
        <f t="shared" si="22"/>
        <v/>
      </c>
      <c r="R24" s="85" t="str">
        <f t="shared" si="23"/>
        <v/>
      </c>
      <c r="S24" s="41" t="str">
        <f t="shared" si="24"/>
        <v/>
      </c>
      <c r="T24" s="166">
        <f>IF(L24="","",VLOOKUP(L24,classifications!C:K,9,FALSE))</f>
        <v>0</v>
      </c>
      <c r="U24" s="167" t="str">
        <f t="shared" si="25"/>
        <v/>
      </c>
      <c r="V24" s="173" t="str">
        <f>IF(U24="","",IF($I$8="A",(RANK(U24,U$11:U$333)+COUNTIF(U$11:U24,U24)-1),(RANK(U24,U$11:U$333,1)+COUNTIF(U$11:U24,U24)-1)))</f>
        <v/>
      </c>
      <c r="W24" s="174"/>
      <c r="X24" s="5" t="str">
        <f>IF(L24="","",VLOOKUP($L24,classifications!$C:$J,6,FALSE))</f>
        <v>Predominantly Urban</v>
      </c>
      <c r="Y24" t="str">
        <f t="shared" si="26"/>
        <v/>
      </c>
      <c r="Z24" s="39" t="str">
        <f>IF(Y24="","",IF(I$8="A",(RANK(Y24,Y$11:Y$333,1)+COUNTIF(Y$11:Y24,Y24)-1),(RANK(Y24,Y$11:Y$333)+COUNTIF(Y$11:Y24,Y24)-1)))</f>
        <v/>
      </c>
      <c r="AA24" s="177" t="str">
        <f>IF(L24="","",VLOOKUP($L24,classifications!C:I,7,FALSE))</f>
        <v>Predominantly Urban</v>
      </c>
      <c r="AB24" s="173" t="str">
        <f t="shared" si="27"/>
        <v/>
      </c>
      <c r="AC24" s="173" t="str">
        <f>IF(AB24="","",IF($I$8="A",(RANK(AB24,AB$11:AB$333)+COUNTIF(AB$11:AB24,AB24)-1),(RANK(AB24,AB$11:AB$333,1)+COUNTIF(AB$11:AB24,AB24)-1)))</f>
        <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West Sussex</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South East</v>
      </c>
      <c r="AQ24" s="42" t="str">
        <f t="shared" si="30"/>
        <v/>
      </c>
      <c r="AR24" s="39" t="str">
        <f>IF(AQ24="","",IF(I$8="A",(RANK(AQ24,AQ$11:AQ$333,1)+COUNTIF(AQ$11:AQ24,AQ24)-1),(RANK(AQ24,AQ$11:AQ$333)+COUNTIF(AQ$11:AQ24,AQ24)-1)))</f>
        <v/>
      </c>
      <c r="AS24" s="3">
        <f t="shared" si="18"/>
        <v>14</v>
      </c>
      <c r="AT24" s="39" t="str">
        <f t="shared" si="8"/>
        <v>Stevenage</v>
      </c>
      <c r="AU24" s="42">
        <f t="shared" si="9"/>
        <v>100</v>
      </c>
      <c r="AX24">
        <f>HLOOKUP($AX$9&amp;$AX$10,Data!$A$1:$ZT$1975,(MATCH($C24,Data!$A$1:$A$1975,0)),FALSE)</f>
        <v>85.714285714285708</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100</v>
      </c>
      <c r="G25" s="15"/>
      <c r="H25" s="41" t="str">
        <f t="shared" si="1"/>
        <v/>
      </c>
      <c r="I25" s="73" t="str">
        <f>IF(H25="","",IF($I$8="A",(RANK(H25,H$11:H$333,1)+COUNTIF(H$11:H25,H25)-1),(RANK(H25,H$11:H$333)+COUNTIF(H$11:H25,H25)-1)))</f>
        <v/>
      </c>
      <c r="J25" s="40"/>
      <c r="K25" s="35">
        <f t="shared" si="10"/>
        <v>15</v>
      </c>
      <c r="L25" t="str">
        <f t="shared" si="2"/>
        <v>Dartford</v>
      </c>
      <c r="M25" s="109">
        <f t="shared" si="3"/>
        <v>100</v>
      </c>
      <c r="N25" s="104">
        <f t="shared" si="19"/>
        <v>100</v>
      </c>
      <c r="O25" s="89">
        <f t="shared" si="20"/>
        <v>100</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Predominantly Urban</v>
      </c>
      <c r="Y25" t="str">
        <f t="shared" si="26"/>
        <v/>
      </c>
      <c r="Z25" s="39" t="str">
        <f>IF(Y25="","",IF(I$8="A",(RANK(Y25,Y$11:Y$333,1)+COUNTIF(Y$11:Y25,Y25)-1),(RANK(Y25,Y$11:Y$333)+COUNTIF(Y$11:Y25,Y25)-1)))</f>
        <v/>
      </c>
      <c r="AA25" s="177" t="str">
        <f>IF(L25="","",VLOOKUP($L25,classifications!C:I,7,FALSE))</f>
        <v>Predominantly Urban</v>
      </c>
      <c r="AB25" s="173" t="str">
        <f t="shared" si="27"/>
        <v/>
      </c>
      <c r="AC25" s="173" t="str">
        <f>IF(AB25="","",IF($I$8="A",(RANK(AB25,AB$11:AB$333)+COUNTIF(AB$11:AB25,AB25)-1),(RANK(AB25,AB$11:AB$333,1)+COUNTIF(AB$11:AB25,AB25)-1)))</f>
        <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Kent</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South East</v>
      </c>
      <c r="AQ25" s="42" t="str">
        <f t="shared" si="30"/>
        <v/>
      </c>
      <c r="AR25" s="39" t="str">
        <f>IF(AQ25="","",IF(I$8="A",(RANK(AQ25,AQ$11:AQ$333,1)+COUNTIF(AQ$11:AQ25,AQ25)-1),(RANK(AQ25,AQ$11:AQ$333)+COUNTIF(AQ$11:AQ25,AQ25)-1)))</f>
        <v/>
      </c>
      <c r="AS25" s="3">
        <f t="shared" si="18"/>
        <v>15</v>
      </c>
      <c r="AT25" s="39" t="str">
        <f t="shared" si="8"/>
        <v>Three Rivers</v>
      </c>
      <c r="AU25" s="42">
        <f t="shared" si="9"/>
        <v>100</v>
      </c>
      <c r="AX25">
        <f>HLOOKUP($AX$9&amp;$AX$10,Data!$A$1:$ZT$1975,(MATCH($C25,Data!$A$1:$A$1975,0)),FALSE)</f>
        <v>100</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90</v>
      </c>
      <c r="G26" s="15"/>
      <c r="H26" s="41" t="str">
        <f t="shared" si="1"/>
        <v/>
      </c>
      <c r="I26" s="73" t="str">
        <f>IF(H26="","",IF($I$8="A",(RANK(H26,H$11:H$333,1)+COUNTIF(H$11:H26,H26)-1),(RANK(H26,H$11:H$333)+COUNTIF(H$11:H26,H26)-1)))</f>
        <v/>
      </c>
      <c r="J26" s="40"/>
      <c r="K26" s="35">
        <f t="shared" si="10"/>
        <v>16</v>
      </c>
      <c r="L26" t="str">
        <f t="shared" si="2"/>
        <v>Derbyshire Dales</v>
      </c>
      <c r="M26" s="109">
        <f t="shared" si="3"/>
        <v>100</v>
      </c>
      <c r="N26" s="104">
        <f t="shared" si="19"/>
        <v>100</v>
      </c>
      <c r="O26" s="89">
        <f t="shared" si="20"/>
        <v>100</v>
      </c>
      <c r="P26" s="89" t="str">
        <f t="shared" si="21"/>
        <v/>
      </c>
      <c r="Q26" s="89" t="str">
        <f t="shared" si="22"/>
        <v/>
      </c>
      <c r="R26" s="85" t="str">
        <f t="shared" si="23"/>
        <v/>
      </c>
      <c r="S26" s="41" t="str">
        <f t="shared" si="24"/>
        <v/>
      </c>
      <c r="T26" s="166" t="str">
        <f>IF(L26="","",VLOOKUP(L26,classifications!C:K,9,FALSE))</f>
        <v>Sparse</v>
      </c>
      <c r="U26" s="167">
        <f t="shared" si="25"/>
        <v>100</v>
      </c>
      <c r="V26" s="173">
        <f>IF(U26="","",IF($I$8="A",(RANK(U26,U$11:U$333)+COUNTIF(U$11:U26,U26)-1),(RANK(U26,U$11:U$333,1)+COUNTIF(U$11:U26,U26)-1)))</f>
        <v>31</v>
      </c>
      <c r="W26" s="174"/>
      <c r="X26" s="5" t="str">
        <f>IF(L26="","",VLOOKUP($L26,classifications!$C:$J,6,FALSE))</f>
        <v xml:space="preserve">Predominantly Rural </v>
      </c>
      <c r="Y26">
        <f t="shared" si="26"/>
        <v>100</v>
      </c>
      <c r="Z26" s="39">
        <f>IF(Y26="","",IF(I$8="A",(RANK(Y26,Y$11:Y$333,1)+COUNTIF(Y$11:Y26,Y26)-1),(RANK(Y26,Y$11:Y$333)+COUNTIF(Y$11:Y26,Y26)-1)))</f>
        <v>3</v>
      </c>
      <c r="AA26" s="177" t="str">
        <f>IF(L26="","",VLOOKUP($L26,classifications!C:I,7,FALSE))</f>
        <v>Predominantly Rural</v>
      </c>
      <c r="AB26" s="173">
        <f t="shared" si="27"/>
        <v>100</v>
      </c>
      <c r="AC26" s="173">
        <f>IF(AB26="","",IF($I$8="A",(RANK(AB26,AB$11:AB$333)+COUNTIF(AB$11:AB26,AB26)-1),(RANK(AB26,AB$11:AB$333,1)+COUNTIF(AB$11:AB26,AB26)-1)))</f>
        <v>37</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Derbyshire</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East Midlands</v>
      </c>
      <c r="AQ26" s="42" t="str">
        <f t="shared" si="30"/>
        <v/>
      </c>
      <c r="AR26" s="39" t="str">
        <f>IF(AQ26="","",IF(I$8="A",(RANK(AQ26,AQ$11:AQ$333,1)+COUNTIF(AQ$11:AQ26,AQ26)-1),(RANK(AQ26,AQ$11:AQ$333)+COUNTIF(AQ$11:AQ26,AQ26)-1)))</f>
        <v/>
      </c>
      <c r="AS26" s="3">
        <f t="shared" si="18"/>
        <v>16</v>
      </c>
      <c r="AT26" s="39" t="str">
        <f t="shared" si="8"/>
        <v>Uttlesford</v>
      </c>
      <c r="AU26" s="42">
        <f t="shared" si="9"/>
        <v>100</v>
      </c>
      <c r="AX26">
        <f>HLOOKUP($AX$9&amp;$AX$10,Data!$A$1:$ZT$1975,(MATCH($C26,Data!$A$1:$A$1975,0)),FALSE)</f>
        <v>90</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East Cambridgeshire</v>
      </c>
      <c r="M27" s="109">
        <f t="shared" si="3"/>
        <v>100</v>
      </c>
      <c r="N27" s="104">
        <f t="shared" si="19"/>
        <v>100</v>
      </c>
      <c r="O27" s="89">
        <f t="shared" si="20"/>
        <v>100</v>
      </c>
      <c r="P27" s="89" t="str">
        <f t="shared" si="21"/>
        <v/>
      </c>
      <c r="Q27" s="89" t="str">
        <f t="shared" si="22"/>
        <v/>
      </c>
      <c r="R27" s="85" t="str">
        <f t="shared" si="23"/>
        <v/>
      </c>
      <c r="S27" s="41" t="str">
        <f t="shared" si="24"/>
        <v/>
      </c>
      <c r="T27" s="166" t="str">
        <f>IF(L27="","",VLOOKUP(L27,classifications!C:K,9,FALSE))</f>
        <v>Sparse</v>
      </c>
      <c r="U27" s="167">
        <f t="shared" si="25"/>
        <v>100</v>
      </c>
      <c r="V27" s="173">
        <f>IF(U27="","",IF($I$8="A",(RANK(U27,U$11:U$333)+COUNTIF(U$11:U27,U27)-1),(RANK(U27,U$11:U$333,1)+COUNTIF(U$11:U27,U27)-1)))</f>
        <v>32</v>
      </c>
      <c r="W27" s="174"/>
      <c r="X27" s="5" t="str">
        <f>IF(L27="","",VLOOKUP($L27,classifications!$C:$J,6,FALSE))</f>
        <v xml:space="preserve">Predominantly Rural </v>
      </c>
      <c r="Y27">
        <f t="shared" si="26"/>
        <v>100</v>
      </c>
      <c r="Z27" s="39">
        <f>IF(Y27="","",IF(I$8="A",(RANK(Y27,Y$11:Y$333,1)+COUNTIF(Y$11:Y27,Y27)-1),(RANK(Y27,Y$11:Y$333)+COUNTIF(Y$11:Y27,Y27)-1)))</f>
        <v>4</v>
      </c>
      <c r="AA27" s="177" t="str">
        <f>IF(L27="","",VLOOKUP($L27,classifications!C:I,7,FALSE))</f>
        <v>Predominantly Rural</v>
      </c>
      <c r="AB27" s="173">
        <f t="shared" si="27"/>
        <v>100</v>
      </c>
      <c r="AC27" s="173">
        <f>IF(AB27="","",IF($I$8="A",(RANK(AB27,AB$11:AB$333)+COUNTIF(AB$11:AB27,AB27)-1),(RANK(AB27,AB$11:AB$333,1)+COUNTIF(AB$11:AB27,AB27)-1)))</f>
        <v>38</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Cambridgeshire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East of England</v>
      </c>
      <c r="AQ27" s="42">
        <f t="shared" si="30"/>
        <v>100</v>
      </c>
      <c r="AR27" s="39">
        <f>IF(AQ27="","",IF(I$8="A",(RANK(AQ27,AQ$11:AQ$333,1)+COUNTIF(AQ$11:AQ27,AQ27)-1),(RANK(AQ27,AQ$11:AQ$333)+COUNTIF(AQ$11:AQ27,AQ27)-1)))</f>
        <v>7</v>
      </c>
      <c r="AS27" s="3">
        <f t="shared" si="18"/>
        <v>17</v>
      </c>
      <c r="AT27" s="39" t="str">
        <f t="shared" si="8"/>
        <v>Watford</v>
      </c>
      <c r="AU27" s="42">
        <f t="shared" si="9"/>
        <v>100</v>
      </c>
      <c r="AX27">
        <f>HLOOKUP($AX$9&amp;$AX$10,Data!$A$1:$ZT$1975,(MATCH($C27,Data!$A$1:$A$1975,0)),FALSE)</f>
        <v>100</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86.36363636363636</v>
      </c>
      <c r="G28" s="15"/>
      <c r="H28" s="41" t="str">
        <f t="shared" si="1"/>
        <v/>
      </c>
      <c r="I28" s="73" t="str">
        <f>IF(H28="","",IF($I$8="A",(RANK(H28,H$11:H$333,1)+COUNTIF(H$11:H28,H28)-1),(RANK(H28,H$11:H$333)+COUNTIF(H$11:H28,H28)-1)))</f>
        <v/>
      </c>
      <c r="J28" s="40"/>
      <c r="K28" s="35">
        <f t="shared" si="10"/>
        <v>18</v>
      </c>
      <c r="L28" t="str">
        <f t="shared" si="2"/>
        <v>East Hampshire</v>
      </c>
      <c r="M28" s="109">
        <f t="shared" si="3"/>
        <v>100</v>
      </c>
      <c r="N28" s="104">
        <f t="shared" si="19"/>
        <v>100</v>
      </c>
      <c r="O28" s="89">
        <f t="shared" si="20"/>
        <v>100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 xml:space="preserve">Predominantly Rural </v>
      </c>
      <c r="Y28">
        <f t="shared" si="26"/>
        <v>100</v>
      </c>
      <c r="Z28" s="39">
        <f>IF(Y28="","",IF(I$8="A",(RANK(Y28,Y$11:Y$333,1)+COUNTIF(Y$11:Y28,Y28)-1),(RANK(Y28,Y$11:Y$333)+COUNTIF(Y$11:Y28,Y28)-1)))</f>
        <v>5</v>
      </c>
      <c r="AA28" s="177" t="str">
        <f>IF(L28="","",VLOOKUP($L28,classifications!C:I,7,FALSE))</f>
        <v>Predominantly Rural</v>
      </c>
      <c r="AB28" s="173">
        <f t="shared" si="27"/>
        <v>100</v>
      </c>
      <c r="AC28" s="173">
        <f>IF(AB28="","",IF($I$8="A",(RANK(AB28,AB$11:AB$333)+COUNTIF(AB$11:AB28,AB28)-1),(RANK(AB28,AB$11:AB$333,1)+COUNTIF(AB$11:AB28,AB28)-1)))</f>
        <v>39</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Hampshire</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South East</v>
      </c>
      <c r="AQ28" s="42" t="str">
        <f t="shared" si="30"/>
        <v/>
      </c>
      <c r="AR28" s="39" t="str">
        <f>IF(AQ28="","",IF(I$8="A",(RANK(AQ28,AQ$11:AQ$333,1)+COUNTIF(AQ$11:AQ28,AQ28)-1),(RANK(AQ28,AQ$11:AQ$333)+COUNTIF(AQ$11:AQ28,AQ28)-1)))</f>
        <v/>
      </c>
      <c r="AS28" s="3">
        <f t="shared" si="18"/>
        <v>18</v>
      </c>
      <c r="AT28" s="39" t="str">
        <f t="shared" si="8"/>
        <v>King's Lynn &amp; West Norfolk</v>
      </c>
      <c r="AU28" s="42">
        <f t="shared" si="9"/>
        <v>94.444444444444443</v>
      </c>
      <c r="AX28">
        <f>HLOOKUP($AX$9&amp;$AX$10,Data!$A$1:$ZT$1975,(MATCH($C28,Data!$A$1:$A$1975,0)),FALSE)</f>
        <v>86.36363636363636</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83.333333333333343</v>
      </c>
      <c r="G29" s="15"/>
      <c r="H29" s="41">
        <f t="shared" si="1"/>
        <v>83.333333333333343</v>
      </c>
      <c r="I29" s="73">
        <f>IF(H29="","",IF($I$8="A",(RANK(H29,H$11:H$333,1)+COUNTIF(H$11:H29,H29)-1),(RANK(H29,H$11:H$333)+COUNTIF(H$11:H29,H29)-1)))</f>
        <v>113</v>
      </c>
      <c r="J29" s="40"/>
      <c r="K29" s="35">
        <f t="shared" si="10"/>
        <v>19</v>
      </c>
      <c r="L29" t="str">
        <f t="shared" si="2"/>
        <v>Eastleigh</v>
      </c>
      <c r="M29" s="109">
        <f t="shared" si="3"/>
        <v>100</v>
      </c>
      <c r="N29" s="104">
        <f t="shared" si="19"/>
        <v>100</v>
      </c>
      <c r="O29" s="89">
        <f t="shared" si="20"/>
        <v>100</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Hampshire</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South East</v>
      </c>
      <c r="AQ29" s="42" t="str">
        <f t="shared" si="30"/>
        <v/>
      </c>
      <c r="AR29" s="39" t="str">
        <f>IF(AQ29="","",IF(I$8="A",(RANK(AQ29,AQ$11:AQ$333,1)+COUNTIF(AQ$11:AQ29,AQ29)-1),(RANK(AQ29,AQ$11:AQ$333)+COUNTIF(AQ$11:AQ29,AQ29)-1)))</f>
        <v/>
      </c>
      <c r="AS29" s="3">
        <f t="shared" si="18"/>
        <v>19</v>
      </c>
      <c r="AT29" s="39" t="str">
        <f t="shared" si="8"/>
        <v>Tendring</v>
      </c>
      <c r="AU29" s="42">
        <f t="shared" si="9"/>
        <v>94.117647058823522</v>
      </c>
      <c r="AX29">
        <f>HLOOKUP($AX$9&amp;$AX$10,Data!$A$1:$ZT$1975,(MATCH($C29,Data!$A$1:$A$1975,0)),FALSE)</f>
        <v>83.333333333333343</v>
      </c>
    </row>
    <row r="30" spans="1:50">
      <c r="A30" s="55" t="str">
        <f>$D$1&amp;20</f>
        <v>SD20</v>
      </c>
      <c r="B30" s="56" t="str">
        <f>IF(ISERROR(VLOOKUP(A30,classifications!A:C,3,FALSE)),0,VLOOKUP(A30,classifications!A:C,3,FALSE))</f>
        <v>New Forest</v>
      </c>
      <c r="C30" t="s">
        <v>260</v>
      </c>
      <c r="D30" t="str">
        <f>VLOOKUP($C30,classifications!$C:$J,4,FALSE)</f>
        <v>UA</v>
      </c>
      <c r="E30">
        <f>VLOOKUP(C30,classifications!C:K,9,FALSE)</f>
        <v>0</v>
      </c>
      <c r="F30">
        <f t="shared" si="0"/>
        <v>100</v>
      </c>
      <c r="G30" s="15"/>
      <c r="H30" s="41" t="str">
        <f t="shared" si="1"/>
        <v/>
      </c>
      <c r="I30" s="73" t="str">
        <f>IF(H30="","",IF($I$8="A",(RANK(H30,H$11:H$333,1)+COUNTIF(H$11:H30,H30)-1),(RANK(H30,H$11:H$333)+COUNTIF(H$11:H30,H30)-1)))</f>
        <v/>
      </c>
      <c r="J30" s="40"/>
      <c r="K30" s="35">
        <f t="shared" si="10"/>
        <v>20</v>
      </c>
      <c r="L30" t="str">
        <f t="shared" si="2"/>
        <v>Elmbridge</v>
      </c>
      <c r="M30" s="109">
        <f t="shared" si="3"/>
        <v>100</v>
      </c>
      <c r="N30" s="104">
        <f t="shared" si="19"/>
        <v>100</v>
      </c>
      <c r="O30" s="89">
        <f t="shared" si="20"/>
        <v>100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Surrey</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South East</v>
      </c>
      <c r="AQ30" s="42" t="str">
        <f t="shared" si="30"/>
        <v/>
      </c>
      <c r="AR30" s="39" t="str">
        <f>IF(AQ30="","",IF(I$8="A",(RANK(AQ30,AQ$11:AQ$333,1)+COUNTIF(AQ$11:AQ30,AQ30)-1),(RANK(AQ30,AQ$11:AQ$333)+COUNTIF(AQ$11:AQ30,AQ30)-1)))</f>
        <v/>
      </c>
      <c r="AS30" s="3">
        <f t="shared" si="18"/>
        <v>20</v>
      </c>
      <c r="AT30" s="39" t="str">
        <f t="shared" si="8"/>
        <v>Broadland</v>
      </c>
      <c r="AU30" s="42">
        <f t="shared" si="9"/>
        <v>90.909090909090907</v>
      </c>
      <c r="AX30">
        <f>HLOOKUP($AX$9&amp;$AX$10,Data!$A$1:$ZT$1975,(MATCH($C30,Data!$A$1:$A$1975,0)),FALSE)</f>
        <v>100</v>
      </c>
    </row>
    <row r="31" spans="1:50">
      <c r="A31" s="55" t="str">
        <f>$D$1&amp;21</f>
        <v>SD21</v>
      </c>
      <c r="B31" s="56" t="str">
        <f>IF(ISERROR(VLOOKUP(A31,classifications!A:C,3,FALSE)),0,VLOOKUP(A31,classifications!A:C,3,FALSE))</f>
        <v>North Devon</v>
      </c>
      <c r="C31" t="s">
        <v>261</v>
      </c>
      <c r="D31" t="str">
        <f>VLOOKUP($C31,classifications!$C:$J,4,FALSE)</f>
        <v>UA</v>
      </c>
      <c r="E31">
        <f>VLOOKUP(C31,classifications!C:K,9,FALSE)</f>
        <v>0</v>
      </c>
      <c r="F31">
        <f t="shared" si="0"/>
        <v>100</v>
      </c>
      <c r="G31" s="15"/>
      <c r="H31" s="41" t="str">
        <f t="shared" si="1"/>
        <v/>
      </c>
      <c r="I31" s="73" t="str">
        <f>IF(H31="","",IF($I$8="A",(RANK(H31,H$11:H$333,1)+COUNTIF(H$11:H31,H31)-1),(RANK(H31,H$11:H$333)+COUNTIF(H$11:H31,H31)-1)))</f>
        <v/>
      </c>
      <c r="J31" s="40"/>
      <c r="K31" s="35">
        <f t="shared" si="10"/>
        <v>21</v>
      </c>
      <c r="L31" t="str">
        <f t="shared" si="2"/>
        <v>Epping Forest</v>
      </c>
      <c r="M31" s="109">
        <f t="shared" si="3"/>
        <v>100</v>
      </c>
      <c r="N31" s="104">
        <f t="shared" si="19"/>
        <v>100</v>
      </c>
      <c r="O31" s="89">
        <f t="shared" si="20"/>
        <v>100</v>
      </c>
      <c r="P31" s="89" t="str">
        <f t="shared" si="21"/>
        <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Urban with Significant Rural</v>
      </c>
      <c r="Y31" t="str">
        <f t="shared" si="26"/>
        <v/>
      </c>
      <c r="Z31" s="39" t="str">
        <f>IF(Y31="","",IF(I$8="A",(RANK(Y31,Y$11:Y$333,1)+COUNTIF(Y$11:Y31,Y31)-1),(RANK(Y31,Y$11:Y$333)+COUNTIF(Y$11:Y31,Y31)-1)))</f>
        <v/>
      </c>
      <c r="AA31" s="177" t="str">
        <f>IF(L31="","",VLOOKUP($L31,classifications!C:I,7,FALSE))</f>
        <v>Urban with Significant Rural</v>
      </c>
      <c r="AB31" s="173" t="str">
        <f t="shared" si="27"/>
        <v/>
      </c>
      <c r="AC31" s="173" t="str">
        <f>IF(AB31="","",IF($I$8="A",(RANK(AB31,AB$11:AB$333)+COUNTIF(AB$11:AB31,AB31)-1),(RANK(AB31,AB$11:AB$333,1)+COUNTIF(AB$11:AB31,AB31)-1)))</f>
        <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Essex</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East of England</v>
      </c>
      <c r="AQ31" s="42">
        <f t="shared" si="30"/>
        <v>100</v>
      </c>
      <c r="AR31" s="39">
        <f>IF(AQ31="","",IF(I$8="A",(RANK(AQ31,AQ$11:AQ$333,1)+COUNTIF(AQ$11:AQ31,AQ31)-1),(RANK(AQ31,AQ$11:AQ$333)+COUNTIF(AQ$11:AQ31,AQ31)-1)))</f>
        <v>8</v>
      </c>
      <c r="AS31" s="3">
        <f t="shared" si="18"/>
        <v>21</v>
      </c>
      <c r="AT31" s="39" t="str">
        <f t="shared" si="8"/>
        <v>Fenland</v>
      </c>
      <c r="AU31" s="42">
        <f t="shared" si="9"/>
        <v>90.909090909090907</v>
      </c>
      <c r="AX31">
        <f>HLOOKUP($AX$9&amp;$AX$10,Data!$A$1:$ZT$1975,(MATCH($C31,Data!$A$1:$A$1975,0)),FALSE)</f>
        <v>100</v>
      </c>
    </row>
    <row r="32" spans="1:50">
      <c r="A32" s="55" t="str">
        <f>$D$1&amp;22</f>
        <v>SD22</v>
      </c>
      <c r="B32" s="56" t="str">
        <f>IF(ISERROR(VLOOKUP(A32,classifications!A:C,3,FALSE)),0,VLOOKUP(A32,classifications!A:C,3,FALSE))</f>
        <v>North Kesteven</v>
      </c>
      <c r="C32" t="s">
        <v>17</v>
      </c>
      <c r="D32" t="str">
        <f>VLOOKUP($C32,classifications!$C:$J,4,FALSE)</f>
        <v>SD</v>
      </c>
      <c r="E32">
        <f>VLOOKUP(C32,classifications!C:K,9,FALSE)</f>
        <v>0</v>
      </c>
      <c r="F32">
        <f t="shared" si="0"/>
        <v>85.714285714285708</v>
      </c>
      <c r="G32" s="15"/>
      <c r="H32" s="41">
        <f t="shared" si="1"/>
        <v>85.714285714285708</v>
      </c>
      <c r="I32" s="73">
        <f>IF(H32="","",IF($I$8="A",(RANK(H32,H$11:H$333,1)+COUNTIF(H$11:H32,H32)-1),(RANK(H32,H$11:H$333)+COUNTIF(H$11:H32,H32)-1)))</f>
        <v>106</v>
      </c>
      <c r="J32" s="40"/>
      <c r="K32" s="35">
        <f t="shared" si="10"/>
        <v>22</v>
      </c>
      <c r="L32" t="str">
        <f t="shared" si="2"/>
        <v>Epsom &amp; Ewell</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Predominantly Urban</v>
      </c>
      <c r="Y32" t="str">
        <f t="shared" si="26"/>
        <v/>
      </c>
      <c r="Z32" s="39" t="str">
        <f>IF(Y32="","",IF(I$8="A",(RANK(Y32,Y$11:Y$333,1)+COUNTIF(Y$11:Y32,Y32)-1),(RANK(Y32,Y$11:Y$333)+COUNTIF(Y$11:Y32,Y32)-1)))</f>
        <v/>
      </c>
      <c r="AA32" s="177" t="str">
        <f>IF(L32="","",VLOOKUP($L32,classifications!C:I,7,FALSE))</f>
        <v>Predominantly Urban</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Surrey</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South East</v>
      </c>
      <c r="AQ32" s="42" t="str">
        <f t="shared" si="30"/>
        <v/>
      </c>
      <c r="AR32" s="39" t="str">
        <f>IF(AQ32="","",IF(I$8="A",(RANK(AQ32,AQ$11:AQ$333,1)+COUNTIF(AQ$11:AQ32,AQ32)-1),(RANK(AQ32,AQ$11:AQ$333)+COUNTIF(AQ$11:AQ32,AQ32)-1)))</f>
        <v/>
      </c>
      <c r="AS32" s="3">
        <f t="shared" si="18"/>
        <v>22</v>
      </c>
      <c r="AT32" s="39" t="str">
        <f t="shared" si="8"/>
        <v>West Suffolk</v>
      </c>
      <c r="AU32" s="42">
        <f t="shared" si="9"/>
        <v>90.909090909090907</v>
      </c>
      <c r="AX32">
        <f>HLOOKUP($AX$9&amp;$AX$10,Data!$A$1:$ZT$1975,(MATCH($C32,Data!$A$1:$A$1975,0)),FALSE)</f>
        <v>85.714285714285708</v>
      </c>
    </row>
    <row r="33" spans="1:50">
      <c r="A33" s="55" t="str">
        <f>$D$1&amp;23</f>
        <v>SD23</v>
      </c>
      <c r="B33" s="56" t="str">
        <f>IF(ISERROR(VLOOKUP(A33,classifications!A:C,3,FALSE)),0,VLOOKUP(A33,classifications!A:C,3,FALSE))</f>
        <v>North Norfolk</v>
      </c>
      <c r="C33" t="s">
        <v>224</v>
      </c>
      <c r="D33" t="str">
        <f>VLOOKUP($C33,classifications!$C:$J,4,FALSE)</f>
        <v>MD</v>
      </c>
      <c r="E33">
        <f>VLOOKUP(C33,classifications!C:K,9,FALSE)</f>
        <v>0</v>
      </c>
      <c r="F33">
        <f t="shared" si="0"/>
        <v>81.818181818181827</v>
      </c>
      <c r="G33" s="15"/>
      <c r="H33" s="41" t="str">
        <f t="shared" si="1"/>
        <v/>
      </c>
      <c r="I33" s="73" t="str">
        <f>IF(H33="","",IF($I$8="A",(RANK(H33,H$11:H$333,1)+COUNTIF(H$11:H33,H33)-1),(RANK(H33,H$11:H$333)+COUNTIF(H$11:H33,H33)-1)))</f>
        <v/>
      </c>
      <c r="J33" s="40"/>
      <c r="K33" s="35">
        <f t="shared" si="10"/>
        <v>23</v>
      </c>
      <c r="L33" t="str">
        <f t="shared" si="2"/>
        <v>Erewash</v>
      </c>
      <c r="M33" s="109">
        <f t="shared" si="3"/>
        <v>100</v>
      </c>
      <c r="N33" s="104">
        <f t="shared" si="19"/>
        <v>100</v>
      </c>
      <c r="O33" s="89">
        <f t="shared" si="20"/>
        <v>100</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Derbyshire</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East Midlands</v>
      </c>
      <c r="AQ33" s="42" t="str">
        <f t="shared" si="30"/>
        <v/>
      </c>
      <c r="AR33" s="39" t="str">
        <f>IF(AQ33="","",IF(I$8="A",(RANK(AQ33,AQ$11:AQ$333,1)+COUNTIF(AQ$11:AQ33,AQ33)-1),(RANK(AQ33,AQ$11:AQ$333)+COUNTIF(AQ$11:AQ33,AQ33)-1)))</f>
        <v/>
      </c>
      <c r="AS33" s="3">
        <f t="shared" si="18"/>
        <v>23</v>
      </c>
      <c r="AT33" s="39" t="str">
        <f t="shared" si="8"/>
        <v>South Cambridgeshire</v>
      </c>
      <c r="AU33" s="42">
        <f t="shared" si="9"/>
        <v>90</v>
      </c>
      <c r="AX33">
        <f>HLOOKUP($AX$9&amp;$AX$10,Data!$A$1:$ZT$1975,(MATCH($C33,Data!$A$1:$A$1975,0)),FALSE)</f>
        <v>81.818181818181827</v>
      </c>
    </row>
    <row r="34" spans="1:50">
      <c r="A34" s="55" t="str">
        <f>$D$1&amp;24</f>
        <v>SD24</v>
      </c>
      <c r="B34" s="56" t="str">
        <f>IF(ISERROR(VLOOKUP(A34,classifications!A:C,3,FALSE)),0,VLOOKUP(A34,classifications!A:C,3,FALSE))</f>
        <v>Ribble Valley</v>
      </c>
      <c r="C34" t="s">
        <v>18</v>
      </c>
      <c r="D34" t="str">
        <f>VLOOKUP($C34,classifications!$C:$J,4,FALSE)</f>
        <v>SD</v>
      </c>
      <c r="E34" t="str">
        <f>VLOOKUP(C34,classifications!C:K,9,FALSE)</f>
        <v>Sparse</v>
      </c>
      <c r="F34">
        <f t="shared" si="0"/>
        <v>100</v>
      </c>
      <c r="G34" s="15"/>
      <c r="H34" s="41">
        <f t="shared" si="1"/>
        <v>100</v>
      </c>
      <c r="I34" s="73">
        <f>IF(H34="","",IF($I$8="A",(RANK(H34,H$11:H$333,1)+COUNTIF(H$11:H34,H34)-1),(RANK(H34,H$11:H$333)+COUNTIF(H$11:H34,H34)-1)))</f>
        <v>5</v>
      </c>
      <c r="J34" s="40"/>
      <c r="K34" s="35">
        <f t="shared" si="10"/>
        <v>24</v>
      </c>
      <c r="L34" t="str">
        <f t="shared" si="2"/>
        <v>Exeter</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Devon</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South West</v>
      </c>
      <c r="AQ34" s="42" t="str">
        <f t="shared" si="30"/>
        <v/>
      </c>
      <c r="AR34" s="39" t="str">
        <f>IF(AQ34="","",IF(I$8="A",(RANK(AQ34,AQ$11:AQ$333,1)+COUNTIF(AQ$11:AQ34,AQ34)-1),(RANK(AQ34,AQ$11:AQ$333)+COUNTIF(AQ$11:AQ34,AQ34)-1)))</f>
        <v/>
      </c>
      <c r="AS34" s="3">
        <f t="shared" si="18"/>
        <v>24</v>
      </c>
      <c r="AT34" s="39" t="str">
        <f t="shared" si="8"/>
        <v>Chelmsford</v>
      </c>
      <c r="AU34" s="42">
        <f t="shared" si="9"/>
        <v>88.888888888888886</v>
      </c>
      <c r="AX34">
        <f>HLOOKUP($AX$9&amp;$AX$10,Data!$A$1:$ZT$1975,(MATCH($C34,Data!$A$1:$A$1975,0)),FALSE)</f>
        <v>100</v>
      </c>
    </row>
    <row r="35" spans="1:50">
      <c r="A35" s="55" t="str">
        <f>$D$1&amp;25</f>
        <v>SD25</v>
      </c>
      <c r="B35" s="56" t="str">
        <f>IF(ISERROR(VLOOKUP(A35,classifications!A:C,3,FALSE)),0,VLOOKUP(A35,classifications!A:C,3,FALSE))</f>
        <v>Rother</v>
      </c>
      <c r="C35" t="s">
        <v>896</v>
      </c>
      <c r="D35" t="str">
        <f>VLOOKUP($C35,classifications!$C:$J,4,FALSE)</f>
        <v>UA</v>
      </c>
      <c r="E35">
        <f>VLOOKUP(C35,classifications!C:K,9,FALSE)</f>
        <v>0</v>
      </c>
      <c r="F35">
        <f t="shared" si="0"/>
        <v>80</v>
      </c>
      <c r="G35" s="15"/>
      <c r="H35" s="41" t="str">
        <f t="shared" si="1"/>
        <v/>
      </c>
      <c r="I35" s="73" t="str">
        <f>IF(H35="","",IF($I$8="A",(RANK(H35,H$11:H$333,1)+COUNTIF(H$11:H35,H35)-1),(RANK(H35,H$11:H$333)+COUNTIF(H$11:H35,H35)-1)))</f>
        <v/>
      </c>
      <c r="J35" s="40"/>
      <c r="K35" s="35">
        <f t="shared" si="10"/>
        <v>25</v>
      </c>
      <c r="L35" t="str">
        <f t="shared" si="2"/>
        <v>Fareham</v>
      </c>
      <c r="M35" s="109">
        <f t="shared" si="3"/>
        <v>100</v>
      </c>
      <c r="N35" s="104">
        <f t="shared" si="19"/>
        <v>100</v>
      </c>
      <c r="O35" s="89">
        <f t="shared" si="20"/>
        <v>100</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Hampshire</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South East</v>
      </c>
      <c r="AQ35" s="42" t="str">
        <f t="shared" si="30"/>
        <v/>
      </c>
      <c r="AR35" s="39" t="str">
        <f>IF(AQ35="","",IF(I$8="A",(RANK(AQ35,AQ$11:AQ$333,1)+COUNTIF(AQ$11:AQ35,AQ35)-1),(RANK(AQ35,AQ$11:AQ$333)+COUNTIF(AQ$11:AQ35,AQ35)-1)))</f>
        <v/>
      </c>
      <c r="AS35" s="3">
        <f t="shared" si="18"/>
        <v>25</v>
      </c>
      <c r="AT35" s="39" t="str">
        <f t="shared" si="8"/>
        <v>East Suffolk</v>
      </c>
      <c r="AU35" s="42">
        <f t="shared" si="9"/>
        <v>87.5</v>
      </c>
      <c r="AX35">
        <f>HLOOKUP($AX$9&amp;$AX$10,Data!$A$1:$ZT$1975,(MATCH($C35,Data!$A$1:$A$1975,0)),FALSE)</f>
        <v>80</v>
      </c>
    </row>
    <row r="36" spans="1:50">
      <c r="A36" s="55" t="str">
        <f>$D$1&amp;26</f>
        <v>SD26</v>
      </c>
      <c r="B36" s="56" t="str">
        <f>IF(ISERROR(VLOOKUP(A36,classifications!A:C,3,FALSE)),0,VLOOKUP(A36,classifications!A:C,3,FALSE))</f>
        <v>Rugby</v>
      </c>
      <c r="C36" t="s">
        <v>263</v>
      </c>
      <c r="D36" t="str">
        <f>VLOOKUP($C36,classifications!$C:$J,4,FALSE)</f>
        <v>UA</v>
      </c>
      <c r="E36">
        <f>VLOOKUP(C36,classifications!C:K,9,FALSE)</f>
        <v>0</v>
      </c>
      <c r="F36">
        <f t="shared" si="0"/>
        <v>88.888888888888886</v>
      </c>
      <c r="G36" s="15"/>
      <c r="H36" s="41" t="str">
        <f t="shared" si="1"/>
        <v/>
      </c>
      <c r="I36" s="73" t="str">
        <f>IF(H36="","",IF($I$8="A",(RANK(H36,H$11:H$333,1)+COUNTIF(H$11:H36,H36)-1),(RANK(H36,H$11:H$333)+COUNTIF(H$11:H36,H36)-1)))</f>
        <v/>
      </c>
      <c r="J36" s="40"/>
      <c r="K36" s="35">
        <f t="shared" si="10"/>
        <v>26</v>
      </c>
      <c r="L36" t="str">
        <f t="shared" si="2"/>
        <v>Folkestone &amp; Hythe</v>
      </c>
      <c r="M36" s="109">
        <f t="shared" si="3"/>
        <v>100</v>
      </c>
      <c r="N36" s="104">
        <f t="shared" si="19"/>
        <v>100</v>
      </c>
      <c r="O36" s="89">
        <f t="shared" si="20"/>
        <v>100</v>
      </c>
      <c r="P36" s="89" t="str">
        <f t="shared" si="21"/>
        <v/>
      </c>
      <c r="Q36" s="89" t="str">
        <f t="shared" si="22"/>
        <v/>
      </c>
      <c r="R36" s="85" t="str">
        <f t="shared" si="23"/>
        <v/>
      </c>
      <c r="S36" s="41" t="str">
        <f t="shared" si="24"/>
        <v/>
      </c>
      <c r="T36" s="166">
        <f>IF(L36="","",VLOOKUP(L36,classifications!C:K,9,FALSE))</f>
        <v>0</v>
      </c>
      <c r="U36" s="167" t="str">
        <f t="shared" si="25"/>
        <v/>
      </c>
      <c r="V36" s="173" t="str">
        <f>IF(U36="","",IF($I$8="A",(RANK(U36,U$11:U$333)+COUNTIF(U$11:U36,U36)-1),(RANK(U36,U$11:U$333,1)+COUNTIF(U$11:U36,U36)-1)))</f>
        <v/>
      </c>
      <c r="W36" s="174"/>
      <c r="X36" s="5" t="str">
        <f>IF(L36="","",VLOOKUP($L36,classifications!$C:$J,6,FALSE))</f>
        <v>Urban with Significant Rural</v>
      </c>
      <c r="Y36" t="str">
        <f t="shared" si="26"/>
        <v/>
      </c>
      <c r="Z36" s="39" t="str">
        <f>IF(Y36="","",IF(I$8="A",(RANK(Y36,Y$11:Y$333,1)+COUNTIF(Y$11:Y36,Y36)-1),(RANK(Y36,Y$11:Y$333)+COUNTIF(Y$11:Y36,Y36)-1)))</f>
        <v/>
      </c>
      <c r="AA36" s="177" t="str">
        <f>IF(L36="","",VLOOKUP($L36,classifications!C:I,7,FALSE))</f>
        <v>Urban with Significant Rural</v>
      </c>
      <c r="AB36" s="173" t="str">
        <f t="shared" si="27"/>
        <v/>
      </c>
      <c r="AC36" s="173" t="str">
        <f>IF(AB36="","",IF($I$8="A",(RANK(AB36,AB$11:AB$333)+COUNTIF(AB$11:AB36,AB36)-1),(RANK(AB36,AB$11:AB$333,1)+COUNTIF(AB$11:AB36,AB36)-1)))</f>
        <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Kent</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South East</v>
      </c>
      <c r="AQ36" s="42" t="str">
        <f t="shared" si="30"/>
        <v/>
      </c>
      <c r="AR36" s="39" t="str">
        <f>IF(AQ36="","",IF(I$8="A",(RANK(AQ36,AQ$11:AQ$333,1)+COUNTIF(AQ$11:AQ36,AQ36)-1),(RANK(AQ36,AQ$11:AQ$333)+COUNTIF(AQ$11:AQ36,AQ36)-1)))</f>
        <v/>
      </c>
      <c r="AS36" s="3">
        <f t="shared" si="18"/>
        <v>26</v>
      </c>
      <c r="AT36" s="39" t="str">
        <f t="shared" si="8"/>
        <v>St Albans</v>
      </c>
      <c r="AU36" s="42">
        <f t="shared" si="9"/>
        <v>87.5</v>
      </c>
      <c r="AX36">
        <f>HLOOKUP($AX$9&amp;$AX$10,Data!$A$1:$ZT$1975,(MATCH($C36,Data!$A$1:$A$1975,0)),FALSE)</f>
        <v>88.888888888888886</v>
      </c>
    </row>
    <row r="37" spans="1:50">
      <c r="A37" s="55" t="str">
        <f>$D$1&amp;27</f>
        <v>SD27</v>
      </c>
      <c r="B37" s="56" t="str">
        <f>IF(ISERROR(VLOOKUP(A37,classifications!A:C,3,FALSE)),0,VLOOKUP(A37,classifications!A:C,3,FALSE))</f>
        <v>South Cambridgeshire</v>
      </c>
      <c r="C37" t="s">
        <v>225</v>
      </c>
      <c r="D37" t="str">
        <f>VLOOKUP($C37,classifications!$C:$J,4,FALSE)</f>
        <v>MD</v>
      </c>
      <c r="E37">
        <f>VLOOKUP(C37,classifications!C:K,9,FALSE)</f>
        <v>0</v>
      </c>
      <c r="F37">
        <f t="shared" si="0"/>
        <v>100</v>
      </c>
      <c r="G37" s="15"/>
      <c r="H37" s="41" t="str">
        <f t="shared" si="1"/>
        <v/>
      </c>
      <c r="I37" s="73" t="str">
        <f>IF(H37="","",IF($I$8="A",(RANK(H37,H$11:H$333,1)+COUNTIF(H$11:H37,H37)-1),(RANK(H37,H$11:H$333)+COUNTIF(H$11:H37,H37)-1)))</f>
        <v/>
      </c>
      <c r="J37" s="40"/>
      <c r="K37" s="35">
        <f t="shared" si="10"/>
        <v>27</v>
      </c>
      <c r="L37" t="str">
        <f t="shared" si="2"/>
        <v>Forest of Dean</v>
      </c>
      <c r="M37" s="109">
        <f t="shared" si="3"/>
        <v>100</v>
      </c>
      <c r="N37" s="104">
        <f t="shared" si="19"/>
        <v>100</v>
      </c>
      <c r="O37" s="89">
        <f t="shared" si="20"/>
        <v>100</v>
      </c>
      <c r="P37" s="89" t="str">
        <f t="shared" si="21"/>
        <v/>
      </c>
      <c r="Q37" s="89" t="str">
        <f t="shared" si="22"/>
        <v/>
      </c>
      <c r="R37" s="85" t="str">
        <f t="shared" si="23"/>
        <v/>
      </c>
      <c r="S37" s="41" t="str">
        <f t="shared" si="24"/>
        <v/>
      </c>
      <c r="T37" s="166" t="str">
        <f>IF(L37="","",VLOOKUP(L37,classifications!C:K,9,FALSE))</f>
        <v>Sparse</v>
      </c>
      <c r="U37" s="167">
        <f t="shared" si="25"/>
        <v>100</v>
      </c>
      <c r="V37" s="173">
        <f>IF(U37="","",IF($I$8="A",(RANK(U37,U$11:U$333)+COUNTIF(U$11:U37,U37)-1),(RANK(U37,U$11:U$333,1)+COUNTIF(U$11:U37,U37)-1)))</f>
        <v>33</v>
      </c>
      <c r="W37" s="174"/>
      <c r="X37" s="5" t="str">
        <f>IF(L37="","",VLOOKUP($L37,classifications!$C:$J,6,FALSE))</f>
        <v xml:space="preserve">Predominantly Rural </v>
      </c>
      <c r="Y37">
        <f t="shared" si="26"/>
        <v>100</v>
      </c>
      <c r="Z37" s="39">
        <f>IF(Y37="","",IF(I$8="A",(RANK(Y37,Y$11:Y$333,1)+COUNTIF(Y$11:Y37,Y37)-1),(RANK(Y37,Y$11:Y$333)+COUNTIF(Y$11:Y37,Y37)-1)))</f>
        <v>6</v>
      </c>
      <c r="AA37" s="177" t="str">
        <f>IF(L37="","",VLOOKUP($L37,classifications!C:I,7,FALSE))</f>
        <v>Predominantly Rural</v>
      </c>
      <c r="AB37" s="173">
        <f t="shared" si="27"/>
        <v>100</v>
      </c>
      <c r="AC37" s="173">
        <f>IF(AB37="","",IF($I$8="A",(RANK(AB37,AB$11:AB$333)+COUNTIF(AB$11:AB37,AB37)-1),(RANK(AB37,AB$11:AB$333,1)+COUNTIF(AB$11:AB37,AB37)-1)))</f>
        <v>40</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Gloucestershire</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South West</v>
      </c>
      <c r="AQ37" s="42" t="str">
        <f t="shared" si="30"/>
        <v/>
      </c>
      <c r="AR37" s="39" t="str">
        <f>IF(AQ37="","",IF(I$8="A",(RANK(AQ37,AQ$11:AQ$333,1)+COUNTIF(AQ$11:AQ37,AQ37)-1),(RANK(AQ37,AQ$11:AQ$333)+COUNTIF(AQ$11:AQ37,AQ37)-1)))</f>
        <v/>
      </c>
      <c r="AS37" s="3">
        <f t="shared" si="18"/>
        <v>27</v>
      </c>
      <c r="AT37" s="39" t="str">
        <f t="shared" si="8"/>
        <v>Breckland</v>
      </c>
      <c r="AU37" s="42">
        <f t="shared" si="9"/>
        <v>84.615384615384613</v>
      </c>
      <c r="AX37">
        <f>HLOOKUP($AX$9&amp;$AX$10,Data!$A$1:$ZT$1975,(MATCH($C37,Data!$A$1:$A$1975,0)),FALSE)</f>
        <v>100</v>
      </c>
    </row>
    <row r="38" spans="1:50">
      <c r="A38" s="55" t="str">
        <f>$D$1&amp;28</f>
        <v>SD28</v>
      </c>
      <c r="B38" s="56" t="str">
        <f>IF(ISERROR(VLOOKUP(A38,classifications!A:C,3,FALSE)),0,VLOOKUP(A38,classifications!A:C,3,FALSE))</f>
        <v>South Hams</v>
      </c>
      <c r="C38" t="s">
        <v>19</v>
      </c>
      <c r="D38" t="str">
        <f>VLOOKUP($C38,classifications!$C:$J,4,FALSE)</f>
        <v>SD</v>
      </c>
      <c r="E38" t="str">
        <f>VLOOKUP(C38,classifications!C:K,9,FALSE)</f>
        <v>Sparse</v>
      </c>
      <c r="F38">
        <f t="shared" si="0"/>
        <v>80</v>
      </c>
      <c r="G38" s="15"/>
      <c r="H38" s="41">
        <f t="shared" si="1"/>
        <v>80</v>
      </c>
      <c r="I38" s="73">
        <f>IF(H38="","",IF($I$8="A",(RANK(H38,H$11:H$333,1)+COUNTIF(H$11:H38,H38)-1),(RANK(H38,H$11:H$333)+COUNTIF(H$11:H38,H38)-1)))</f>
        <v>121</v>
      </c>
      <c r="J38" s="40"/>
      <c r="K38" s="35">
        <f t="shared" si="10"/>
        <v>28</v>
      </c>
      <c r="L38" t="str">
        <f t="shared" si="2"/>
        <v>Gedling</v>
      </c>
      <c r="M38" s="109">
        <f t="shared" si="3"/>
        <v>100</v>
      </c>
      <c r="N38" s="104">
        <f t="shared" si="19"/>
        <v>100</v>
      </c>
      <c r="O38" s="89">
        <f t="shared" si="20"/>
        <v>100</v>
      </c>
      <c r="P38" s="89" t="str">
        <f t="shared" si="21"/>
        <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Predominantly Urban</v>
      </c>
      <c r="Y38" t="str">
        <f t="shared" si="26"/>
        <v/>
      </c>
      <c r="Z38" s="39" t="str">
        <f>IF(Y38="","",IF(I$8="A",(RANK(Y38,Y$11:Y$333,1)+COUNTIF(Y$11:Y38,Y38)-1),(RANK(Y38,Y$11:Y$333)+COUNTIF(Y$11:Y38,Y38)-1)))</f>
        <v/>
      </c>
      <c r="AA38" s="177" t="str">
        <f>IF(L38="","",VLOOKUP($L38,classifications!C:I,7,FALSE))</f>
        <v>Predominantly Urban</v>
      </c>
      <c r="AB38" s="173" t="str">
        <f t="shared" si="27"/>
        <v/>
      </c>
      <c r="AC38" s="173" t="str">
        <f>IF(AB38="","",IF($I$8="A",(RANK(AB38,AB$11:AB$333)+COUNTIF(AB$11:AB38,AB38)-1),(RANK(AB38,AB$11:AB$333,1)+COUNTIF(AB$11:AB38,AB38)-1)))</f>
        <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Nottinghamshire</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East Midlands</v>
      </c>
      <c r="AQ38" s="42" t="str">
        <f t="shared" si="30"/>
        <v/>
      </c>
      <c r="AR38" s="39" t="str">
        <f>IF(AQ38="","",IF(I$8="A",(RANK(AQ38,AQ$11:AQ$333,1)+COUNTIF(AQ$11:AQ38,AQ38)-1),(RANK(AQ38,AQ$11:AQ$333)+COUNTIF(AQ$11:AQ38,AQ38)-1)))</f>
        <v/>
      </c>
      <c r="AS38" s="3">
        <f t="shared" si="18"/>
        <v>28</v>
      </c>
      <c r="AT38" s="39" t="str">
        <f t="shared" si="8"/>
        <v>Dacorum</v>
      </c>
      <c r="AU38" s="42">
        <f t="shared" si="9"/>
        <v>83.333333333333343</v>
      </c>
      <c r="AX38">
        <f>HLOOKUP($AX$9&amp;$AX$10,Data!$A$1:$ZT$1975,(MATCH($C38,Data!$A$1:$A$1975,0)),FALSE)</f>
        <v>80</v>
      </c>
    </row>
    <row r="39" spans="1:50">
      <c r="A39" s="55" t="str">
        <f>$D$1&amp;29</f>
        <v>SD29</v>
      </c>
      <c r="B39" s="56" t="str">
        <f>IF(ISERROR(VLOOKUP(A39,classifications!A:C,3,FALSE)),0,VLOOKUP(A39,classifications!A:C,3,FALSE))</f>
        <v>South Holland</v>
      </c>
      <c r="C39" t="s">
        <v>20</v>
      </c>
      <c r="D39" t="str">
        <f>VLOOKUP($C39,classifications!$C:$J,4,FALSE)</f>
        <v>SD</v>
      </c>
      <c r="E39">
        <f>VLOOKUP(C39,classifications!C:K,9,FALSE)</f>
        <v>0</v>
      </c>
      <c r="F39">
        <f t="shared" si="0"/>
        <v>84.615384615384613</v>
      </c>
      <c r="G39" s="15"/>
      <c r="H39" s="41">
        <f t="shared" si="1"/>
        <v>84.615384615384613</v>
      </c>
      <c r="I39" s="73">
        <f>IF(H39="","",IF($I$8="A",(RANK(H39,H$11:H$333,1)+COUNTIF(H$11:H39,H39)-1),(RANK(H39,H$11:H$333)+COUNTIF(H$11:H39,H39)-1)))</f>
        <v>109</v>
      </c>
      <c r="J39" s="40"/>
      <c r="K39" s="35">
        <f t="shared" si="10"/>
        <v>29</v>
      </c>
      <c r="L39" t="str">
        <f t="shared" si="2"/>
        <v>Gloucester</v>
      </c>
      <c r="M39" s="109">
        <f t="shared" si="3"/>
        <v>100</v>
      </c>
      <c r="N39" s="104">
        <f t="shared" si="19"/>
        <v>100</v>
      </c>
      <c r="O39" s="89">
        <f t="shared" si="20"/>
        <v>100</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Gloucestershire</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South West</v>
      </c>
      <c r="AQ39" s="42" t="str">
        <f t="shared" si="30"/>
        <v/>
      </c>
      <c r="AR39" s="39" t="str">
        <f>IF(AQ39="","",IF(I$8="A",(RANK(AQ39,AQ$11:AQ$333,1)+COUNTIF(AQ$11:AQ39,AQ39)-1),(RANK(AQ39,AQ$11:AQ$333)+COUNTIF(AQ$11:AQ39,AQ39)-1)))</f>
        <v/>
      </c>
      <c r="AS39" s="3">
        <f t="shared" si="18"/>
        <v>29</v>
      </c>
      <c r="AT39" s="39" t="str">
        <f t="shared" si="8"/>
        <v>Maldon</v>
      </c>
      <c r="AU39" s="42">
        <f t="shared" si="9"/>
        <v>83.333333333333343</v>
      </c>
      <c r="AX39">
        <f>HLOOKUP($AX$9&amp;$AX$10,Data!$A$1:$ZT$1975,(MATCH($C39,Data!$A$1:$A$1975,0)),FALSE)</f>
        <v>84.615384615384613</v>
      </c>
    </row>
    <row r="40" spans="1:50">
      <c r="A40" s="55" t="str">
        <f>$D$1&amp;30</f>
        <v>SD30</v>
      </c>
      <c r="B40" s="56" t="str">
        <f>IF(ISERROR(VLOOKUP(A40,classifications!A:C,3,FALSE)),0,VLOOKUP(A40,classifications!A:C,3,FALSE))</f>
        <v>South Kesteven</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Great Yarmouth</v>
      </c>
      <c r="M40" s="109">
        <f t="shared" si="3"/>
        <v>100</v>
      </c>
      <c r="N40" s="104">
        <f t="shared" si="19"/>
        <v>100</v>
      </c>
      <c r="O40" s="89">
        <f t="shared" si="20"/>
        <v>100</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Urban with Significant Rural</v>
      </c>
      <c r="Y40" t="str">
        <f t="shared" si="26"/>
        <v/>
      </c>
      <c r="Z40" s="39" t="str">
        <f>IF(Y40="","",IF(I$8="A",(RANK(Y40,Y$11:Y$333,1)+COUNTIF(Y$11:Y40,Y40)-1),(RANK(Y40,Y$11:Y$333)+COUNTIF(Y$11:Y40,Y40)-1)))</f>
        <v/>
      </c>
      <c r="AA40" s="177" t="str">
        <f>IF(L40="","",VLOOKUP($L40,classifications!C:I,7,FALSE))</f>
        <v>Urban with Significant Rural</v>
      </c>
      <c r="AB40" s="173" t="str">
        <f t="shared" si="27"/>
        <v/>
      </c>
      <c r="AC40" s="173" t="str">
        <f>IF(AB40="","",IF($I$8="A",(RANK(AB40,AB$11:AB$333)+COUNTIF(AB$11:AB40,AB40)-1),(RANK(AB40,AB$11:AB$333,1)+COUNTIF(AB$11:AB40,AB40)-1)))</f>
        <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Norfolk</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East of England</v>
      </c>
      <c r="AQ40" s="42">
        <f t="shared" si="30"/>
        <v>100</v>
      </c>
      <c r="AR40" s="39">
        <f>IF(AQ40="","",IF(I$8="A",(RANK(AQ40,AQ$11:AQ$333,1)+COUNTIF(AQ$11:AQ40,AQ40)-1),(RANK(AQ40,AQ$11:AQ$333)+COUNTIF(AQ$11:AQ40,AQ40)-1)))</f>
        <v>9</v>
      </c>
      <c r="AS40" s="3">
        <f t="shared" si="18"/>
        <v>30</v>
      </c>
      <c r="AT40" s="39" t="str">
        <f t="shared" si="8"/>
        <v>Braintree</v>
      </c>
      <c r="AU40" s="42">
        <f t="shared" si="9"/>
        <v>80</v>
      </c>
      <c r="AX40">
        <f>HLOOKUP($AX$9&amp;$AX$10,Data!$A$1:$ZT$1975,(MATCH($C40,Data!$A$1:$A$1975,0)),FALSE)</f>
        <v>100</v>
      </c>
    </row>
    <row r="41" spans="1:50">
      <c r="A41" s="55" t="str">
        <f>$D$1&amp;31</f>
        <v>SD31</v>
      </c>
      <c r="B41" s="56" t="str">
        <f>IF(ISERROR(VLOOKUP(A41,classifications!A:C,3,FALSE)),0,VLOOKUP(A41,classifications!A:C,3,FALSE))</f>
        <v>South Norfolk</v>
      </c>
      <c r="C41" t="s">
        <v>21</v>
      </c>
      <c r="D41" t="str">
        <f>VLOOKUP($C41,classifications!$C:$J,4,FALSE)</f>
        <v>SD</v>
      </c>
      <c r="E41">
        <f>VLOOKUP(C41,classifications!C:K,9,FALSE)</f>
        <v>0</v>
      </c>
      <c r="F41">
        <f t="shared" si="0"/>
        <v>100</v>
      </c>
      <c r="G41" s="15"/>
      <c r="H41" s="41">
        <f t="shared" si="1"/>
        <v>100</v>
      </c>
      <c r="I41" s="73">
        <f>IF(H41="","",IF($I$8="A",(RANK(H41,H$11:H$333,1)+COUNTIF(H$11:H41,H41)-1),(RANK(H41,H$11:H$333)+COUNTIF(H$11:H41,H41)-1)))</f>
        <v>6</v>
      </c>
      <c r="J41" s="40"/>
      <c r="K41" s="35">
        <f t="shared" si="10"/>
        <v>31</v>
      </c>
      <c r="L41" t="str">
        <f t="shared" si="2"/>
        <v>Hertsmere</v>
      </c>
      <c r="M41" s="109">
        <f t="shared" si="3"/>
        <v>100</v>
      </c>
      <c r="N41" s="104">
        <f t="shared" si="19"/>
        <v>100</v>
      </c>
      <c r="O41" s="89">
        <f t="shared" si="20"/>
        <v>100</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Predominantly Urban</v>
      </c>
      <c r="Y41" t="str">
        <f t="shared" si="26"/>
        <v/>
      </c>
      <c r="Z41" s="39" t="str">
        <f>IF(Y41="","",IF(I$8="A",(RANK(Y41,Y$11:Y$333,1)+COUNTIF(Y$11:Y41,Y41)-1),(RANK(Y41,Y$11:Y$333)+COUNTIF(Y$11:Y41,Y41)-1)))</f>
        <v/>
      </c>
      <c r="AA41" s="177" t="str">
        <f>IF(L41="","",VLOOKUP($L41,classifications!C:I,7,FALSE))</f>
        <v>Predominantly Urban</v>
      </c>
      <c r="AB41" s="173" t="str">
        <f t="shared" si="27"/>
        <v/>
      </c>
      <c r="AC41" s="173" t="str">
        <f>IF(AB41="","",IF($I$8="A",(RANK(AB41,AB$11:AB$333)+COUNTIF(AB$11:AB41,AB41)-1),(RANK(AB41,AB$11:AB$333,1)+COUNTIF(AB$11:AB41,AB41)-1)))</f>
        <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Hertfordshire</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East of England</v>
      </c>
      <c r="AQ41" s="42">
        <f t="shared" si="30"/>
        <v>100</v>
      </c>
      <c r="AR41" s="39">
        <f>IF(AQ41="","",IF(I$8="A",(RANK(AQ41,AQ$11:AQ$333,1)+COUNTIF(AQ$11:AQ41,AQ41)-1),(RANK(AQ41,AQ$11:AQ$333)+COUNTIF(AQ$11:AQ41,AQ41)-1)))</f>
        <v>10</v>
      </c>
      <c r="AS41" s="3">
        <f t="shared" si="18"/>
        <v>31</v>
      </c>
      <c r="AT41" s="39" t="str">
        <f t="shared" si="8"/>
        <v>East Hertfordshire</v>
      </c>
      <c r="AU41" s="42">
        <f t="shared" si="9"/>
        <v>80</v>
      </c>
      <c r="AX41">
        <f>HLOOKUP($AX$9&amp;$AX$10,Data!$A$1:$ZT$1975,(MATCH($C41,Data!$A$1:$A$1975,0)),FALSE)</f>
        <v>100</v>
      </c>
    </row>
    <row r="42" spans="1:50">
      <c r="A42" s="55" t="str">
        <f>$D$1&amp;32</f>
        <v>SD32</v>
      </c>
      <c r="B42" s="56" t="str">
        <f>IF(ISERROR(VLOOKUP(A42,classifications!A:C,3,FALSE)),0,VLOOKUP(A42,classifications!A:C,3,FALSE))</f>
        <v>South Oxfordshire</v>
      </c>
      <c r="C42" t="s">
        <v>812</v>
      </c>
      <c r="D42" t="str">
        <f>VLOOKUP($C42,classifications!$C:$J,4,FALSE)</f>
        <v>UA</v>
      </c>
      <c r="E42">
        <f>VLOOKUP(C42,classifications!C:K,9,FALSE)</f>
        <v>0</v>
      </c>
      <c r="F42">
        <f t="shared" si="0"/>
        <v>100</v>
      </c>
      <c r="G42" s="15"/>
      <c r="H42" s="41" t="str">
        <f t="shared" si="1"/>
        <v/>
      </c>
      <c r="I42" s="73" t="str">
        <f>IF(H42="","",IF($I$8="A",(RANK(H42,H$11:H$333,1)+COUNTIF(H$11:H42,H42)-1),(RANK(H42,H$11:H$333)+COUNTIF(H$11:H42,H42)-1)))</f>
        <v/>
      </c>
      <c r="J42" s="40"/>
      <c r="K42" s="35">
        <f t="shared" si="10"/>
        <v>32</v>
      </c>
      <c r="L42" t="str">
        <f t="shared" si="2"/>
        <v>High Peak</v>
      </c>
      <c r="M42" s="109">
        <f t="shared" si="3"/>
        <v>100</v>
      </c>
      <c r="N42" s="104">
        <f t="shared" si="19"/>
        <v>100</v>
      </c>
      <c r="O42" s="89">
        <f t="shared" si="20"/>
        <v>100</v>
      </c>
      <c r="P42" s="89" t="str">
        <f t="shared" si="21"/>
        <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 xml:space="preserve">Predominantly Rural </v>
      </c>
      <c r="Y42">
        <f t="shared" si="26"/>
        <v>100</v>
      </c>
      <c r="Z42" s="39">
        <f>IF(Y42="","",IF(I$8="A",(RANK(Y42,Y$11:Y$333,1)+COUNTIF(Y$11:Y42,Y42)-1),(RANK(Y42,Y$11:Y$333)+COUNTIF(Y$11:Y42,Y42)-1)))</f>
        <v>7</v>
      </c>
      <c r="AA42" s="177" t="str">
        <f>IF(L42="","",VLOOKUP($L42,classifications!C:I,7,FALSE))</f>
        <v>Predominantly Rural</v>
      </c>
      <c r="AB42" s="173">
        <f t="shared" si="27"/>
        <v>100</v>
      </c>
      <c r="AC42" s="173">
        <f>IF(AB42="","",IF($I$8="A",(RANK(AB42,AB$11:AB$333)+COUNTIF(AB$11:AB42,AB42)-1),(RANK(AB42,AB$11:AB$333,1)+COUNTIF(AB$11:AB42,AB42)-1)))</f>
        <v>41</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Derbyshire</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East Midlands</v>
      </c>
      <c r="AQ42" s="42" t="str">
        <f t="shared" si="30"/>
        <v/>
      </c>
      <c r="AR42" s="39" t="str">
        <f>IF(AQ42="","",IF(I$8="A",(RANK(AQ42,AQ$11:AQ$333,1)+COUNTIF(AQ$11:AQ42,AQ42)-1),(RANK(AQ42,AQ$11:AQ$333)+COUNTIF(AQ$11:AQ42,AQ42)-1)))</f>
        <v/>
      </c>
      <c r="AS42" s="3">
        <f t="shared" si="18"/>
        <v>32</v>
      </c>
      <c r="AT42" s="39" t="str">
        <f t="shared" si="8"/>
        <v>South Norfolk</v>
      </c>
      <c r="AU42" s="42">
        <f t="shared" si="9"/>
        <v>80</v>
      </c>
      <c r="AX42">
        <f>HLOOKUP($AX$9&amp;$AX$10,Data!$A$1:$ZT$1975,(MATCH($C42,Data!$A$1:$A$1975,0)),FALSE)</f>
        <v>100</v>
      </c>
    </row>
    <row r="43" spans="1:50">
      <c r="A43" s="55" t="str">
        <f>$D$1&amp;33</f>
        <v>SD33</v>
      </c>
      <c r="B43" s="56" t="str">
        <f>IF(ISERROR(VLOOKUP(A43,classifications!A:C,3,FALSE)),0,VLOOKUP(A43,classifications!A:C,3,FALSE))</f>
        <v>Stafford</v>
      </c>
      <c r="C43" t="s">
        <v>816</v>
      </c>
      <c r="D43" t="str">
        <f>VLOOKUP($C43,classifications!$C:$J,4,FALSE)</f>
        <v>UA</v>
      </c>
      <c r="E43">
        <f>VLOOKUP(C43,classifications!C:K,9,FALSE)</f>
        <v>0</v>
      </c>
      <c r="F43">
        <f t="shared" si="0"/>
        <v>87.5</v>
      </c>
      <c r="G43" s="15"/>
      <c r="H43" s="41" t="str">
        <f t="shared" si="1"/>
        <v/>
      </c>
      <c r="I43" s="73" t="str">
        <f>IF(H43="","",IF($I$8="A",(RANK(H43,H$11:H$333,1)+COUNTIF(H$11:H43,H43)-1),(RANK(H43,H$11:H$333)+COUNTIF(H$11:H43,H43)-1)))</f>
        <v/>
      </c>
      <c r="J43" s="40"/>
      <c r="K43" s="35">
        <f t="shared" si="10"/>
        <v>33</v>
      </c>
      <c r="L43" t="str">
        <f t="shared" si="2"/>
        <v>Horsham</v>
      </c>
      <c r="M43" s="109">
        <f t="shared" si="3"/>
        <v>100</v>
      </c>
      <c r="N43" s="104">
        <f t="shared" si="19"/>
        <v>100</v>
      </c>
      <c r="O43" s="89">
        <f t="shared" si="20"/>
        <v>100</v>
      </c>
      <c r="P43" s="89" t="str">
        <f t="shared" si="21"/>
        <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 xml:space="preserve">Predominantly Rural </v>
      </c>
      <c r="Y43">
        <f t="shared" si="26"/>
        <v>100</v>
      </c>
      <c r="Z43" s="39">
        <f>IF(Y43="","",IF(I$8="A",(RANK(Y43,Y$11:Y$333,1)+COUNTIF(Y$11:Y43,Y43)-1),(RANK(Y43,Y$11:Y$333)+COUNTIF(Y$11:Y43,Y43)-1)))</f>
        <v>8</v>
      </c>
      <c r="AA43" s="177" t="str">
        <f>IF(L43="","",VLOOKUP($L43,classifications!C:I,7,FALSE))</f>
        <v>Predominantly Rural</v>
      </c>
      <c r="AB43" s="173">
        <f t="shared" si="27"/>
        <v>100</v>
      </c>
      <c r="AC43" s="173">
        <f>IF(AB43="","",IF($I$8="A",(RANK(AB43,AB$11:AB$333)+COUNTIF(AB$11:AB43,AB43)-1),(RANK(AB43,AB$11:AB$333,1)+COUNTIF(AB$11:AB43,AB43)-1)))</f>
        <v>42</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West Sussex</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South East</v>
      </c>
      <c r="AQ43" s="42" t="str">
        <f t="shared" si="30"/>
        <v/>
      </c>
      <c r="AR43" s="39" t="str">
        <f>IF(AQ43="","",IF(I$8="A",(RANK(AQ43,AQ$11:AQ$333,1)+COUNTIF(AQ$11:AQ43,AQ43)-1),(RANK(AQ43,AQ$11:AQ$333)+COUNTIF(AQ$11:AQ43,AQ43)-1)))</f>
        <v/>
      </c>
      <c r="AS43" s="3">
        <f t="shared" si="18"/>
        <v>33</v>
      </c>
      <c r="AT43" s="39" t="str">
        <f t="shared" si="8"/>
        <v>Huntingdonshire</v>
      </c>
      <c r="AU43" s="42">
        <f t="shared" si="9"/>
        <v>75</v>
      </c>
      <c r="AX43">
        <f>HLOOKUP($AX$9&amp;$AX$10,Data!$A$1:$ZT$1975,(MATCH($C43,Data!$A$1:$A$1975,0)),FALSE)</f>
        <v>87.5</v>
      </c>
    </row>
    <row r="44" spans="1:50">
      <c r="A44" s="55" t="str">
        <f>$D$1&amp;34</f>
        <v>SD34</v>
      </c>
      <c r="B44" s="56" t="str">
        <f>IF(ISERROR(VLOOKUP(A44,classifications!A:C,3,FALSE)),0,VLOOKUP(A44,classifications!A:C,3,FALSE))</f>
        <v>Stratford-on-Avon</v>
      </c>
      <c r="C44" t="s">
        <v>22</v>
      </c>
      <c r="D44" t="str">
        <f>VLOOKUP($C44,classifications!$C:$J,4,FALSE)</f>
        <v>SD</v>
      </c>
      <c r="E44">
        <f>VLOOKUP(C44,classifications!C:K,9,FALSE)</f>
        <v>0</v>
      </c>
      <c r="F44">
        <f t="shared" si="0"/>
        <v>90.909090909090907</v>
      </c>
      <c r="G44" s="15"/>
      <c r="H44" s="41">
        <f t="shared" si="1"/>
        <v>90.909090909090907</v>
      </c>
      <c r="I44" s="73">
        <f>IF(H44="","",IF($I$8="A",(RANK(H44,H$11:H$333,1)+COUNTIF(H$11:H44,H44)-1),(RANK(H44,H$11:H$333)+COUNTIF(H$11:H44,H44)-1)))</f>
        <v>90</v>
      </c>
      <c r="J44" s="40"/>
      <c r="K44" s="35">
        <f t="shared" si="10"/>
        <v>34</v>
      </c>
      <c r="L44" t="str">
        <f t="shared" si="2"/>
        <v>Hyndburn</v>
      </c>
      <c r="M44" s="109">
        <f t="shared" si="3"/>
        <v>100</v>
      </c>
      <c r="N44" s="104">
        <f t="shared" si="19"/>
        <v>100</v>
      </c>
      <c r="O44" s="89">
        <f t="shared" si="20"/>
        <v>100</v>
      </c>
      <c r="P44" s="89" t="str">
        <f t="shared" si="21"/>
        <v/>
      </c>
      <c r="Q44" s="89" t="str">
        <f t="shared" si="22"/>
        <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Predominantly Urban</v>
      </c>
      <c r="Y44" t="str">
        <f t="shared" si="26"/>
        <v/>
      </c>
      <c r="Z44" s="39" t="str">
        <f>IF(Y44="","",IF(I$8="A",(RANK(Y44,Y$11:Y$333,1)+COUNTIF(Y$11:Y44,Y44)-1),(RANK(Y44,Y$11:Y$333)+COUNTIF(Y$11:Y44,Y44)-1)))</f>
        <v/>
      </c>
      <c r="AA44" s="177" t="str">
        <f>IF(L44="","",VLOOKUP($L44,classifications!C:I,7,FALSE))</f>
        <v>Predominantly Urban</v>
      </c>
      <c r="AB44" s="173" t="str">
        <f t="shared" si="27"/>
        <v/>
      </c>
      <c r="AC44" s="173" t="str">
        <f>IF(AB44="","",IF($I$8="A",(RANK(AB44,AB$11:AB$333)+COUNTIF(AB$11:AB44,AB44)-1),(RANK(AB44,AB$11:AB$333,1)+COUNTIF(AB$11:AB44,AB44)-1)))</f>
        <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Lancashire</v>
      </c>
      <c r="AJ44" s="42" t="str">
        <f t="shared" si="29"/>
        <v/>
      </c>
      <c r="AK44" s="39" t="str">
        <f>IF(AJ44="","",IF(I$8="A",(RANK(AJ44,AJ$11:AJ$333,1)+COUNTIF(AJ$11:AJ44,AJ44)-1),(RANK(AJ44,AJ$11:AJ$333)+COUNTIF(AJ$11:AJ44,AJ44)-1)))</f>
        <v/>
      </c>
      <c r="AL44" s="3" t="str">
        <f t="shared" si="16"/>
        <v/>
      </c>
      <c r="AM44" t="str">
        <f t="shared" si="6"/>
        <v/>
      </c>
      <c r="AN44" t="str">
        <f t="shared" si="7"/>
        <v/>
      </c>
      <c r="AP44" s="5" t="str">
        <f>IF(L44="","",VLOOKUP($L44,classifications!$C:$E,3,FALSE))</f>
        <v>North West</v>
      </c>
      <c r="AQ44" s="42" t="str">
        <f t="shared" si="30"/>
        <v/>
      </c>
      <c r="AR44" s="39" t="str">
        <f>IF(AQ44="","",IF(I$8="A",(RANK(AQ44,AQ$11:AQ$333,1)+COUNTIF(AQ$11:AQ44,AQ44)-1),(RANK(AQ44,AQ$11:AQ$333)+COUNTIF(AQ$11:AQ44,AQ44)-1)))</f>
        <v/>
      </c>
      <c r="AS44" s="3">
        <f t="shared" si="18"/>
        <v>34</v>
      </c>
      <c r="AT44" s="39" t="str">
        <f t="shared" si="8"/>
        <v>Mid Suffolk</v>
      </c>
      <c r="AU44" s="42">
        <f t="shared" si="9"/>
        <v>71.428571428571431</v>
      </c>
      <c r="AX44">
        <f>HLOOKUP($AX$9&amp;$AX$10,Data!$A$1:$ZT$1975,(MATCH($C44,Data!$A$1:$A$1975,0)),FALSE)</f>
        <v>90.909090909090907</v>
      </c>
    </row>
    <row r="45" spans="1:50">
      <c r="A45" s="55" t="str">
        <f>$D$1&amp;35</f>
        <v>SD35</v>
      </c>
      <c r="B45" s="56" t="str">
        <f>IF(ISERROR(VLOOKUP(A45,classifications!A:C,3,FALSE)),0,VLOOKUP(A45,classifications!A:C,3,FALSE))</f>
        <v>Stroud</v>
      </c>
      <c r="C45" t="s">
        <v>199</v>
      </c>
      <c r="D45" t="str">
        <f>VLOOKUP($C45,classifications!$C:$J,4,FALSE)</f>
        <v>L</v>
      </c>
      <c r="E45">
        <f>VLOOKUP(C45,classifications!C:K,9,FALSE)</f>
        <v>0</v>
      </c>
      <c r="F45">
        <f t="shared" si="0"/>
        <v>71.428571428571431</v>
      </c>
      <c r="G45" s="15"/>
      <c r="H45" s="41" t="str">
        <f t="shared" si="1"/>
        <v/>
      </c>
      <c r="I45" s="73" t="str">
        <f>IF(H45="","",IF($I$8="A",(RANK(H45,H$11:H$333,1)+COUNTIF(H$11:H45,H45)-1),(RANK(H45,H$11:H$333)+COUNTIF(H$11:H45,H45)-1)))</f>
        <v/>
      </c>
      <c r="J45" s="40"/>
      <c r="K45" s="35">
        <f t="shared" si="10"/>
        <v>35</v>
      </c>
      <c r="L45" t="str">
        <f t="shared" si="2"/>
        <v>Lancaster</v>
      </c>
      <c r="M45" s="109">
        <f t="shared" si="3"/>
        <v>100</v>
      </c>
      <c r="N45" s="104">
        <f t="shared" si="19"/>
        <v>100</v>
      </c>
      <c r="O45" s="89">
        <f t="shared" si="20"/>
        <v>100</v>
      </c>
      <c r="P45" s="89" t="str">
        <f t="shared" si="21"/>
        <v/>
      </c>
      <c r="Q45" s="89" t="str">
        <f t="shared" si="22"/>
        <v/>
      </c>
      <c r="R45" s="85" t="str">
        <f t="shared" si="23"/>
        <v/>
      </c>
      <c r="S45" s="41" t="str">
        <f t="shared" si="24"/>
        <v/>
      </c>
      <c r="T45" s="166">
        <f>IF(L45="","",VLOOKUP(L45,classifications!C:K,9,FALSE))</f>
        <v>0</v>
      </c>
      <c r="U45" s="167" t="str">
        <f t="shared" si="25"/>
        <v/>
      </c>
      <c r="V45" s="173" t="str">
        <f>IF(U45="","",IF($I$8="A",(RANK(U45,U$11:U$333)+COUNTIF(U$11:U45,U45)-1),(RANK(U45,U$11:U$333,1)+COUNTIF(U$11:U45,U45)-1)))</f>
        <v/>
      </c>
      <c r="W45" s="174"/>
      <c r="X45" s="5" t="str">
        <f>IF(L45="","",VLOOKUP($L45,classifications!$C:$J,6,FALSE))</f>
        <v>Urban with Significant Rural</v>
      </c>
      <c r="Y45" t="str">
        <f t="shared" si="26"/>
        <v/>
      </c>
      <c r="Z45" s="39" t="str">
        <f>IF(Y45="","",IF(I$8="A",(RANK(Y45,Y$11:Y$333,1)+COUNTIF(Y$11:Y45,Y45)-1),(RANK(Y45,Y$11:Y$333)+COUNTIF(Y$11:Y45,Y45)-1)))</f>
        <v/>
      </c>
      <c r="AA45" s="177" t="str">
        <f>IF(L45="","",VLOOKUP($L45,classifications!C:I,7,FALSE))</f>
        <v>Urban with Significant Rural</v>
      </c>
      <c r="AB45" s="173" t="str">
        <f t="shared" si="27"/>
        <v/>
      </c>
      <c r="AC45" s="173" t="str">
        <f>IF(AB45="","",IF($I$8="A",(RANK(AB45,AB$11:AB$333)+COUNTIF(AB$11:AB45,AB45)-1),(RANK(AB45,AB$11:AB$333,1)+COUNTIF(AB$11:AB45,AB45)-1)))</f>
        <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Lancashire</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North West</v>
      </c>
      <c r="AQ45" s="42" t="str">
        <f t="shared" si="30"/>
        <v/>
      </c>
      <c r="AR45" s="39" t="str">
        <f>IF(AQ45="","",IF(I$8="A",(RANK(AQ45,AQ$11:AQ$333,1)+COUNTIF(AQ$11:AQ45,AQ45)-1),(RANK(AQ45,AQ$11:AQ$333)+COUNTIF(AQ$11:AQ45,AQ45)-1)))</f>
        <v/>
      </c>
      <c r="AS45" s="3">
        <f t="shared" si="18"/>
        <v>35</v>
      </c>
      <c r="AT45" s="39" t="str">
        <f t="shared" si="8"/>
        <v>Castle Point</v>
      </c>
      <c r="AU45" s="42">
        <f t="shared" si="9"/>
        <v>66.666666666666657</v>
      </c>
      <c r="AX45">
        <f>HLOOKUP($AX$9&amp;$AX$10,Data!$A$1:$ZT$1975,(MATCH($C45,Data!$A$1:$A$1975,0)),FALSE)</f>
        <v>71.428571428571431</v>
      </c>
    </row>
    <row r="46" spans="1:50">
      <c r="A46" s="55" t="str">
        <f>$D$1&amp;36</f>
        <v>SD36</v>
      </c>
      <c r="B46" s="56" t="str">
        <f>IF(ISERROR(VLOOKUP(A46,classifications!A:C,3,FALSE)),0,VLOOKUP(A46,classifications!A:C,3,FALSE))</f>
        <v>Teignbridge</v>
      </c>
      <c r="C46" t="s">
        <v>23</v>
      </c>
      <c r="D46" t="str">
        <f>VLOOKUP($C46,classifications!$C:$J,4,FALSE)</f>
        <v>SD</v>
      </c>
      <c r="E46">
        <f>VLOOKUP(C46,classifications!C:K,9,FALSE)</f>
        <v>0</v>
      </c>
      <c r="F46">
        <f t="shared" si="0"/>
        <v>33.333333333333329</v>
      </c>
      <c r="G46" s="15"/>
      <c r="H46" s="41">
        <f t="shared" si="1"/>
        <v>33.333333333333329</v>
      </c>
      <c r="I46" s="73">
        <f>IF(H46="","",IF($I$8="A",(RANK(H46,H$11:H$333,1)+COUNTIF(H$11:H46,H46)-1),(RANK(H46,H$11:H$333)+COUNTIF(H$11:H46,H46)-1)))</f>
        <v>157</v>
      </c>
      <c r="J46" s="40"/>
      <c r="K46" s="35">
        <f t="shared" si="10"/>
        <v>36</v>
      </c>
      <c r="L46" t="str">
        <f t="shared" si="2"/>
        <v>Lewes</v>
      </c>
      <c r="M46" s="109">
        <f t="shared" si="3"/>
        <v>100</v>
      </c>
      <c r="N46" s="104">
        <f t="shared" si="19"/>
        <v>100</v>
      </c>
      <c r="O46" s="89">
        <f t="shared" si="20"/>
        <v>100</v>
      </c>
      <c r="P46" s="89" t="str">
        <f t="shared" si="21"/>
        <v/>
      </c>
      <c r="Q46" s="89" t="str">
        <f t="shared" si="22"/>
        <v/>
      </c>
      <c r="R46" s="85" t="str">
        <f t="shared" si="23"/>
        <v/>
      </c>
      <c r="S46" s="41" t="str">
        <f t="shared" si="24"/>
        <v/>
      </c>
      <c r="T46" s="166" t="str">
        <f>IF(L46="","",VLOOKUP(L46,classifications!C:K,9,FALSE))</f>
        <v>Sparse</v>
      </c>
      <c r="U46" s="167">
        <f t="shared" si="25"/>
        <v>100</v>
      </c>
      <c r="V46" s="173">
        <f>IF(U46="","",IF($I$8="A",(RANK(U46,U$11:U$333)+COUNTIF(U$11:U46,U46)-1),(RANK(U46,U$11:U$333,1)+COUNTIF(U$11:U46,U46)-1)))</f>
        <v>34</v>
      </c>
      <c r="W46" s="174"/>
      <c r="X46" s="5" t="str">
        <f>IF(L46="","",VLOOKUP($L46,classifications!$C:$J,6,FALSE))</f>
        <v>Urban with Significant Rural</v>
      </c>
      <c r="Y46" t="str">
        <f t="shared" si="26"/>
        <v/>
      </c>
      <c r="Z46" s="39" t="str">
        <f>IF(Y46="","",IF(I$8="A",(RANK(Y46,Y$11:Y$333,1)+COUNTIF(Y$11:Y46,Y46)-1),(RANK(Y46,Y$11:Y$333)+COUNTIF(Y$11:Y46,Y46)-1)))</f>
        <v/>
      </c>
      <c r="AA46" s="177" t="str">
        <f>IF(L46="","",VLOOKUP($L46,classifications!C:I,7,FALSE))</f>
        <v>Urban with Significant Rural</v>
      </c>
      <c r="AB46" s="173" t="str">
        <f t="shared" si="27"/>
        <v/>
      </c>
      <c r="AC46" s="173" t="str">
        <f>IF(AB46="","",IF($I$8="A",(RANK(AB46,AB$11:AB$333)+COUNTIF(AB$11:AB46,AB46)-1),(RANK(AB46,AB$11:AB$333,1)+COUNTIF(AB$11:AB46,AB46)-1)))</f>
        <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East Sussex</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South East</v>
      </c>
      <c r="AQ46" s="42" t="str">
        <f t="shared" si="30"/>
        <v/>
      </c>
      <c r="AR46" s="39" t="str">
        <f>IF(AQ46="","",IF(I$8="A",(RANK(AQ46,AQ$11:AQ$333,1)+COUNTIF(AQ$11:AQ46,AQ46)-1),(RANK(AQ46,AQ$11:AQ$333)+COUNTIF(AQ$11:AQ46,AQ46)-1)))</f>
        <v/>
      </c>
      <c r="AS46" s="3">
        <f t="shared" si="18"/>
        <v>36</v>
      </c>
      <c r="AT46" s="39" t="str">
        <f t="shared" si="8"/>
        <v>Harlow</v>
      </c>
      <c r="AU46" s="42">
        <f t="shared" si="9"/>
        <v>66.666666666666657</v>
      </c>
      <c r="AX46">
        <f>HLOOKUP($AX$9&amp;$AX$10,Data!$A$1:$ZT$1975,(MATCH($C46,Data!$A$1:$A$1975,0)),FALSE)</f>
        <v>33.333333333333329</v>
      </c>
    </row>
    <row r="47" spans="1:50">
      <c r="A47" s="55" t="str">
        <f>$D$1&amp;37</f>
        <v>SD37</v>
      </c>
      <c r="B47" s="56" t="str">
        <f>IF(ISERROR(VLOOKUP(A47,classifications!A:C,3,FALSE)),0,VLOOKUP(A47,classifications!A:C,3,FALSE))</f>
        <v>Tewkesbury</v>
      </c>
      <c r="C47" t="s">
        <v>24</v>
      </c>
      <c r="D47" t="str">
        <f>VLOOKUP($C47,classifications!$C:$J,4,FALSE)</f>
        <v>SD</v>
      </c>
      <c r="E47">
        <f>VLOOKUP(C47,classifications!C:K,9,FALSE)</f>
        <v>0</v>
      </c>
      <c r="F47">
        <f t="shared" si="0"/>
        <v>100</v>
      </c>
      <c r="G47" s="15"/>
      <c r="H47" s="41">
        <f t="shared" si="1"/>
        <v>100</v>
      </c>
      <c r="I47" s="73">
        <f>IF(H47="","",IF($I$8="A",(RANK(H47,H$11:H$333,1)+COUNTIF(H$11:H47,H47)-1),(RANK(H47,H$11:H$333)+COUNTIF(H$11:H47,H47)-1)))</f>
        <v>7</v>
      </c>
      <c r="J47" s="40"/>
      <c r="K47" s="35">
        <f t="shared" si="10"/>
        <v>37</v>
      </c>
      <c r="L47" t="str">
        <f t="shared" si="2"/>
        <v>Maidstone</v>
      </c>
      <c r="M47" s="109">
        <f t="shared" si="3"/>
        <v>100</v>
      </c>
      <c r="N47" s="104">
        <f t="shared" si="19"/>
        <v>100</v>
      </c>
      <c r="O47" s="89">
        <f t="shared" si="20"/>
        <v>100</v>
      </c>
      <c r="P47" s="89" t="str">
        <f t="shared" si="21"/>
        <v/>
      </c>
      <c r="Q47" s="89" t="str">
        <f t="shared" si="22"/>
        <v/>
      </c>
      <c r="R47" s="85" t="str">
        <f t="shared" si="23"/>
        <v/>
      </c>
      <c r="S47" s="41" t="str">
        <f t="shared" si="24"/>
        <v/>
      </c>
      <c r="T47" s="166">
        <f>IF(L47="","",VLOOKUP(L47,classifications!C:K,9,FALSE))</f>
        <v>0</v>
      </c>
      <c r="U47" s="167" t="str">
        <f t="shared" si="25"/>
        <v/>
      </c>
      <c r="V47" s="173" t="str">
        <f>IF(U47="","",IF($I$8="A",(RANK(U47,U$11:U$333)+COUNTIF(U$11:U47,U47)-1),(RANK(U47,U$11:U$333,1)+COUNTIF(U$11:U47,U47)-1)))</f>
        <v/>
      </c>
      <c r="W47" s="174"/>
      <c r="X47" s="5" t="str">
        <f>IF(L47="","",VLOOKUP($L47,classifications!$C:$J,6,FALSE))</f>
        <v>Urban with Significant Rural</v>
      </c>
      <c r="Y47" t="str">
        <f t="shared" si="26"/>
        <v/>
      </c>
      <c r="Z47" s="39" t="str">
        <f>IF(Y47="","",IF(I$8="A",(RANK(Y47,Y$11:Y$333,1)+COUNTIF(Y$11:Y47,Y47)-1),(RANK(Y47,Y$11:Y$333)+COUNTIF(Y$11:Y47,Y47)-1)))</f>
        <v/>
      </c>
      <c r="AA47" s="177" t="str">
        <f>IF(L47="","",VLOOKUP($L47,classifications!C:I,7,FALSE))</f>
        <v>Urban with Significant Rural</v>
      </c>
      <c r="AB47" s="173" t="str">
        <f t="shared" si="27"/>
        <v/>
      </c>
      <c r="AC47" s="173" t="str">
        <f>IF(AB47="","",IF($I$8="A",(RANK(AB47,AB$11:AB$333)+COUNTIF(AB$11:AB47,AB47)-1),(RANK(AB47,AB$11:AB$333,1)+COUNTIF(AB$11:AB47,AB47)-1)))</f>
        <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Kent</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South East</v>
      </c>
      <c r="AQ47" s="42" t="str">
        <f t="shared" si="30"/>
        <v/>
      </c>
      <c r="AR47" s="39" t="str">
        <f>IF(AQ47="","",IF(I$8="A",(RANK(AQ47,AQ$11:AQ$333,1)+COUNTIF(AQ$11:AQ47,AQ47)-1),(RANK(AQ47,AQ$11:AQ$333)+COUNTIF(AQ$11:AQ47,AQ47)-1)))</f>
        <v/>
      </c>
      <c r="AS47" s="3">
        <f t="shared" si="18"/>
        <v>37</v>
      </c>
      <c r="AT47" s="39" t="str">
        <f t="shared" si="8"/>
        <v>North Hertfordshire</v>
      </c>
      <c r="AU47" s="42">
        <f t="shared" si="9"/>
        <v>66.666666666666657</v>
      </c>
      <c r="AX47">
        <f>HLOOKUP($AX$9&amp;$AX$10,Data!$A$1:$ZT$1975,(MATCH($C47,Data!$A$1:$A$1975,0)),FALSE)</f>
        <v>100</v>
      </c>
    </row>
    <row r="48" spans="1:50">
      <c r="A48" s="55" t="str">
        <f>$D$1&amp;38</f>
        <v>SD38</v>
      </c>
      <c r="B48" s="56" t="str">
        <f>IF(ISERROR(VLOOKUP(A48,classifications!A:C,3,FALSE)),0,VLOOKUP(A48,classifications!A:C,3,FALSE))</f>
        <v>Torridge</v>
      </c>
      <c r="C48" t="s">
        <v>25</v>
      </c>
      <c r="D48" t="str">
        <f>VLOOKUP($C48,classifications!$C:$J,4,FALSE)</f>
        <v>SD</v>
      </c>
      <c r="E48">
        <f>VLOOKUP(C48,classifications!C:K,9,FALSE)</f>
        <v>0</v>
      </c>
      <c r="F48">
        <f t="shared" si="0"/>
        <v>75</v>
      </c>
      <c r="G48" s="15"/>
      <c r="H48" s="41">
        <f t="shared" si="1"/>
        <v>75</v>
      </c>
      <c r="I48" s="73">
        <f>IF(H48="","",IF($I$8="A",(RANK(H48,H$11:H$333,1)+COUNTIF(H$11:H48,H48)-1),(RANK(H48,H$11:H$333)+COUNTIF(H$11:H48,H48)-1)))</f>
        <v>128</v>
      </c>
      <c r="J48" s="40"/>
      <c r="K48" s="35">
        <f t="shared" si="10"/>
        <v>38</v>
      </c>
      <c r="L48" t="str">
        <f t="shared" si="2"/>
        <v>Mansfield</v>
      </c>
      <c r="M48" s="109">
        <f t="shared" si="3"/>
        <v>100</v>
      </c>
      <c r="N48" s="104">
        <f t="shared" si="19"/>
        <v>100</v>
      </c>
      <c r="O48" s="89">
        <f t="shared" si="20"/>
        <v>100</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Nottinghamshire</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East Midlands</v>
      </c>
      <c r="AQ48" s="42" t="str">
        <f t="shared" si="30"/>
        <v/>
      </c>
      <c r="AR48" s="39" t="str">
        <f>IF(AQ48="","",IF(I$8="A",(RANK(AQ48,AQ$11:AQ$333,1)+COUNTIF(AQ$11:AQ48,AQ48)-1),(RANK(AQ48,AQ$11:AQ$333)+COUNTIF(AQ$11:AQ48,AQ48)-1)))</f>
        <v/>
      </c>
      <c r="AS48" s="3">
        <f t="shared" si="18"/>
        <v>38</v>
      </c>
      <c r="AT48" s="39" t="str">
        <f t="shared" si="8"/>
        <v>Ipswich</v>
      </c>
      <c r="AU48" s="42">
        <f t="shared" si="9"/>
        <v>50</v>
      </c>
      <c r="AX48">
        <f>HLOOKUP($AX$9&amp;$AX$10,Data!$A$1:$ZT$1975,(MATCH($C48,Data!$A$1:$A$1975,0)),FALSE)</f>
        <v>75</v>
      </c>
    </row>
    <row r="49" spans="1:50">
      <c r="A49" s="55" t="str">
        <f>$D$1&amp;39</f>
        <v>SD39</v>
      </c>
      <c r="B49" s="56" t="str">
        <f>IF(ISERROR(VLOOKUP(A49,classifications!A:C,3,FALSE)),0,VLOOKUP(A49,classifications!A:C,3,FALSE))</f>
        <v>Uttlesford</v>
      </c>
      <c r="C49" t="s">
        <v>300</v>
      </c>
      <c r="D49" t="str">
        <f>VLOOKUP($C49,classifications!$C:$J,4,FALSE)</f>
        <v>UA</v>
      </c>
      <c r="E49">
        <f>VLOOKUP(C49,classifications!C:K,9,FALSE)</f>
        <v>0</v>
      </c>
      <c r="F49">
        <f t="shared" si="0"/>
        <v>96.969696969696969</v>
      </c>
      <c r="G49" s="15"/>
      <c r="H49" s="41" t="str">
        <f t="shared" si="1"/>
        <v/>
      </c>
      <c r="I49" s="73" t="str">
        <f>IF(H49="","",IF($I$8="A",(RANK(H49,H$11:H$333,1)+COUNTIF(H$11:H49,H49)-1),(RANK(H49,H$11:H$333)+COUNTIF(H$11:H49,H49)-1)))</f>
        <v/>
      </c>
      <c r="J49" s="40"/>
      <c r="K49" s="35">
        <f t="shared" si="10"/>
        <v>39</v>
      </c>
      <c r="L49" t="str">
        <f t="shared" si="2"/>
        <v>Melton</v>
      </c>
      <c r="M49" s="109">
        <f t="shared" si="3"/>
        <v>100</v>
      </c>
      <c r="N49" s="104">
        <f t="shared" si="19"/>
        <v>100</v>
      </c>
      <c r="O49" s="89">
        <f t="shared" si="20"/>
        <v>100</v>
      </c>
      <c r="P49" s="89" t="str">
        <f t="shared" si="21"/>
        <v/>
      </c>
      <c r="Q49" s="89" t="str">
        <f t="shared" si="22"/>
        <v/>
      </c>
      <c r="R49" s="85" t="str">
        <f t="shared" si="23"/>
        <v/>
      </c>
      <c r="S49" s="41" t="str">
        <f t="shared" si="24"/>
        <v/>
      </c>
      <c r="T49" s="166" t="str">
        <f>IF(L49="","",VLOOKUP(L49,classifications!C:K,9,FALSE))</f>
        <v>Sparse</v>
      </c>
      <c r="U49" s="167">
        <f t="shared" si="25"/>
        <v>100</v>
      </c>
      <c r="V49" s="173">
        <f>IF(U49="","",IF($I$8="A",(RANK(U49,U$11:U$333)+COUNTIF(U$11:U49,U49)-1),(RANK(U49,U$11:U$333,1)+COUNTIF(U$11:U49,U49)-1)))</f>
        <v>35</v>
      </c>
      <c r="W49" s="174"/>
      <c r="X49" s="5" t="str">
        <f>IF(L49="","",VLOOKUP($L49,classifications!$C:$J,6,FALSE))</f>
        <v xml:space="preserve">Predominantly Rural </v>
      </c>
      <c r="Y49">
        <f t="shared" si="26"/>
        <v>100</v>
      </c>
      <c r="Z49" s="39">
        <f>IF(Y49="","",IF(I$8="A",(RANK(Y49,Y$11:Y$333,1)+COUNTIF(Y$11:Y49,Y49)-1),(RANK(Y49,Y$11:Y$333)+COUNTIF(Y$11:Y49,Y49)-1)))</f>
        <v>9</v>
      </c>
      <c r="AA49" s="177" t="str">
        <f>IF(L49="","",VLOOKUP($L49,classifications!C:I,7,FALSE))</f>
        <v>Predominantly Rural</v>
      </c>
      <c r="AB49" s="173">
        <f t="shared" si="27"/>
        <v>100</v>
      </c>
      <c r="AC49" s="173">
        <f>IF(AB49="","",IF($I$8="A",(RANK(AB49,AB$11:AB$333)+COUNTIF(AB$11:AB49,AB49)-1),(RANK(AB49,AB$11:AB$333,1)+COUNTIF(AB$11:AB49,AB49)-1)))</f>
        <v>43</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Leicestershire</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East Midlands</v>
      </c>
      <c r="AQ49" s="42" t="str">
        <f t="shared" si="30"/>
        <v/>
      </c>
      <c r="AR49" s="39" t="str">
        <f>IF(AQ49="","",IF(I$8="A",(RANK(AQ49,AQ$11:AQ$333,1)+COUNTIF(AQ$11:AQ49,AQ49)-1),(RANK(AQ49,AQ$11:AQ$333)+COUNTIF(AQ$11:AQ49,AQ49)-1)))</f>
        <v/>
      </c>
      <c r="AS49" s="3">
        <f t="shared" si="18"/>
        <v>39</v>
      </c>
      <c r="AT49" s="39" t="str">
        <f t="shared" si="8"/>
        <v>Welwyn Hatfield</v>
      </c>
      <c r="AU49" s="42">
        <f t="shared" si="9"/>
        <v>0</v>
      </c>
      <c r="AX49">
        <f>HLOOKUP($AX$9&amp;$AX$10,Data!$A$1:$ZT$1975,(MATCH($C49,Data!$A$1:$A$1975,0)),FALSE)</f>
        <v>96.969696969696969</v>
      </c>
    </row>
    <row r="50" spans="1:50">
      <c r="A50" s="55" t="str">
        <f>$D$1&amp;40</f>
        <v>SD40</v>
      </c>
      <c r="B50" s="56" t="str">
        <f>IF(ISERROR(VLOOKUP(A50,classifications!A:C,3,FALSE)),0,VLOOKUP(A50,classifications!A:C,3,FALSE))</f>
        <v>Vale of White Horse</v>
      </c>
      <c r="C50" t="s">
        <v>26</v>
      </c>
      <c r="D50" t="str">
        <f>VLOOKUP($C50,classifications!$C:$J,4,FALSE)</f>
        <v>SD</v>
      </c>
      <c r="E50">
        <f>VLOOKUP(C50,classifications!C:K,9,FALSE)</f>
        <v>0</v>
      </c>
      <c r="F50">
        <f t="shared" si="0"/>
        <v>100</v>
      </c>
      <c r="G50" s="15"/>
      <c r="H50" s="41">
        <f t="shared" si="1"/>
        <v>100</v>
      </c>
      <c r="I50" s="73">
        <f>IF(H50="","",IF($I$8="A",(RANK(H50,H$11:H$333,1)+COUNTIF(H$11:H50,H50)-1),(RANK(H50,H$11:H$333)+COUNTIF(H$11:H50,H50)-1)))</f>
        <v>8</v>
      </c>
      <c r="J50" s="40"/>
      <c r="K50" s="35">
        <f t="shared" si="10"/>
        <v>40</v>
      </c>
      <c r="L50" t="str">
        <f t="shared" si="2"/>
        <v>Mid Devon</v>
      </c>
      <c r="M50" s="109">
        <f t="shared" si="3"/>
        <v>100</v>
      </c>
      <c r="N50" s="104">
        <f t="shared" si="19"/>
        <v>100</v>
      </c>
      <c r="O50" s="89">
        <f t="shared" si="20"/>
        <v>100</v>
      </c>
      <c r="P50" s="89" t="str">
        <f t="shared" si="21"/>
        <v/>
      </c>
      <c r="Q50" s="89" t="str">
        <f t="shared" si="22"/>
        <v/>
      </c>
      <c r="R50" s="85" t="str">
        <f t="shared" si="23"/>
        <v/>
      </c>
      <c r="S50" s="41" t="str">
        <f t="shared" si="24"/>
        <v/>
      </c>
      <c r="T50" s="166" t="str">
        <f>IF(L50="","",VLOOKUP(L50,classifications!C:K,9,FALSE))</f>
        <v>Sparse</v>
      </c>
      <c r="U50" s="167">
        <f t="shared" si="25"/>
        <v>100</v>
      </c>
      <c r="V50" s="173">
        <f>IF(U50="","",IF($I$8="A",(RANK(U50,U$11:U$333)+COUNTIF(U$11:U50,U50)-1),(RANK(U50,U$11:U$333,1)+COUNTIF(U$11:U50,U50)-1)))</f>
        <v>36</v>
      </c>
      <c r="W50" s="174"/>
      <c r="X50" s="5" t="str">
        <f>IF(L50="","",VLOOKUP($L50,classifications!$C:$J,6,FALSE))</f>
        <v xml:space="preserve">Predominantly Rural </v>
      </c>
      <c r="Y50">
        <f t="shared" si="26"/>
        <v>100</v>
      </c>
      <c r="Z50" s="39">
        <f>IF(Y50="","",IF(I$8="A",(RANK(Y50,Y$11:Y$333,1)+COUNTIF(Y$11:Y50,Y50)-1),(RANK(Y50,Y$11:Y$333)+COUNTIF(Y$11:Y50,Y50)-1)))</f>
        <v>10</v>
      </c>
      <c r="AA50" s="177" t="str">
        <f>IF(L50="","",VLOOKUP($L50,classifications!C:I,7,FALSE))</f>
        <v>Predominantly Rural</v>
      </c>
      <c r="AB50" s="173">
        <f t="shared" si="27"/>
        <v>100</v>
      </c>
      <c r="AC50" s="173">
        <f>IF(AB50="","",IF($I$8="A",(RANK(AB50,AB$11:AB$333)+COUNTIF(AB$11:AB50,AB50)-1),(RANK(AB50,AB$11:AB$333,1)+COUNTIF(AB$11:AB50,AB50)-1)))</f>
        <v>44</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Devon</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South West</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SD41</v>
      </c>
      <c r="B51" s="56" t="str">
        <f>IF(ISERROR(VLOOKUP(A51,classifications!A:C,3,FALSE)),0,VLOOKUP(A51,classifications!A:C,3,FALSE))</f>
        <v>Wealden</v>
      </c>
      <c r="C51" t="s">
        <v>226</v>
      </c>
      <c r="D51" t="str">
        <f>VLOOKUP($C51,classifications!$C:$J,4,FALSE)</f>
        <v>MD</v>
      </c>
      <c r="E51">
        <f>VLOOKUP(C51,classifications!C:K,9,FALSE)</f>
        <v>0</v>
      </c>
      <c r="F51">
        <f t="shared" si="0"/>
        <v>93.75</v>
      </c>
      <c r="G51" s="15"/>
      <c r="H51" s="41" t="str">
        <f t="shared" si="1"/>
        <v/>
      </c>
      <c r="I51" s="73" t="str">
        <f>IF(H51="","",IF($I$8="A",(RANK(H51,H$11:H$333,1)+COUNTIF(H$11:H51,H51)-1),(RANK(H51,H$11:H$333)+COUNTIF(H$11:H51,H51)-1)))</f>
        <v/>
      </c>
      <c r="J51" s="40"/>
      <c r="K51" s="35">
        <f t="shared" si="10"/>
        <v>41</v>
      </c>
      <c r="L51" t="str">
        <f t="shared" si="2"/>
        <v>Mid Sussex</v>
      </c>
      <c r="M51" s="109">
        <f t="shared" si="3"/>
        <v>100</v>
      </c>
      <c r="N51" s="104">
        <f t="shared" si="19"/>
        <v>100</v>
      </c>
      <c r="O51" s="89">
        <f t="shared" si="20"/>
        <v>100</v>
      </c>
      <c r="P51" s="89" t="str">
        <f t="shared" si="21"/>
        <v/>
      </c>
      <c r="Q51" s="89" t="str">
        <f t="shared" si="22"/>
        <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West Sussex</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South East</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93.75</v>
      </c>
    </row>
    <row r="52" spans="1:50">
      <c r="A52" s="55" t="str">
        <f>$D$1&amp;42</f>
        <v>SD42</v>
      </c>
      <c r="B52" s="56" t="str">
        <f>IF(ISERROR(VLOOKUP(A52,classifications!A:C,3,FALSE)),0,VLOOKUP(A52,classifications!A:C,3,FALSE))</f>
        <v>West Devon</v>
      </c>
      <c r="C52" t="s">
        <v>227</v>
      </c>
      <c r="D52" t="str">
        <f>VLOOKUP($C52,classifications!$C:$J,4,FALSE)</f>
        <v>MD</v>
      </c>
      <c r="E52">
        <f>VLOOKUP(C52,classifications!C:K,9,FALSE)</f>
        <v>0</v>
      </c>
      <c r="F52">
        <f t="shared" si="0"/>
        <v>100</v>
      </c>
      <c r="G52" s="15"/>
      <c r="H52" s="41" t="str">
        <f t="shared" si="1"/>
        <v/>
      </c>
      <c r="I52" s="73" t="str">
        <f>IF(H52="","",IF($I$8="A",(RANK(H52,H$11:H$333,1)+COUNTIF(H$11:H52,H52)-1),(RANK(H52,H$11:H$333)+COUNTIF(H$11:H52,H52)-1)))</f>
        <v/>
      </c>
      <c r="J52" s="40"/>
      <c r="K52" s="35">
        <f t="shared" si="10"/>
        <v>42</v>
      </c>
      <c r="L52" t="str">
        <f t="shared" si="2"/>
        <v>Mole Valley</v>
      </c>
      <c r="M52" s="109">
        <f t="shared" si="3"/>
        <v>100</v>
      </c>
      <c r="N52" s="104">
        <f t="shared" si="19"/>
        <v>100</v>
      </c>
      <c r="O52" s="89">
        <f t="shared" si="20"/>
        <v>100</v>
      </c>
      <c r="P52" s="89" t="str">
        <f t="shared" si="21"/>
        <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Urban with Significant Rural</v>
      </c>
      <c r="Y52" t="str">
        <f t="shared" si="26"/>
        <v/>
      </c>
      <c r="Z52" s="39" t="str">
        <f>IF(Y52="","",IF(I$8="A",(RANK(Y52,Y$11:Y$333,1)+COUNTIF(Y$11:Y52,Y52)-1),(RANK(Y52,Y$11:Y$333)+COUNTIF(Y$11:Y52,Y52)-1)))</f>
        <v/>
      </c>
      <c r="AA52" s="177" t="str">
        <f>IF(L52="","",VLOOKUP($L52,classifications!C:I,7,FALSE))</f>
        <v>Urban with Significant Rural</v>
      </c>
      <c r="AB52" s="173" t="str">
        <f t="shared" si="27"/>
        <v/>
      </c>
      <c r="AC52" s="173" t="str">
        <f>IF(AB52="","",IF($I$8="A",(RANK(AB52,AB$11:AB$333)+COUNTIF(AB$11:AB52,AB52)-1),(RANK(AB52,AB$11:AB$333,1)+COUNTIF(AB$11:AB52,AB52)-1)))</f>
        <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Surrey</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South East</v>
      </c>
      <c r="AQ52" s="42" t="str">
        <f t="shared" si="30"/>
        <v/>
      </c>
      <c r="AR52" s="39" t="str">
        <f>IF(AQ52="","",IF(I$8="A",(RANK(AQ52,AQ$11:AQ$333,1)+COUNTIF(AQ$11:AQ52,AQ52)-1),(RANK(AQ52,AQ$11:AQ$333)+COUNTIF(AQ$11:AQ52,AQ52)-1)))</f>
        <v/>
      </c>
      <c r="AS52" s="3" t="str">
        <f t="shared" si="18"/>
        <v/>
      </c>
      <c r="AT52" s="39" t="str">
        <f t="shared" si="8"/>
        <v/>
      </c>
      <c r="AU52" s="42" t="str">
        <f t="shared" si="9"/>
        <v/>
      </c>
      <c r="AX52">
        <f>HLOOKUP($AX$9&amp;$AX$10,Data!$A$1:$ZT$1975,(MATCH($C52,Data!$A$1:$A$1975,0)),FALSE)</f>
        <v>100</v>
      </c>
    </row>
    <row r="53" spans="1:50">
      <c r="A53" s="55" t="str">
        <f>$D$1&amp;43</f>
        <v>SD43</v>
      </c>
      <c r="B53" s="56" t="str">
        <f>IF(ISERROR(VLOOKUP(A53,classifications!A:C,3,FALSE)),0,VLOOKUP(A53,classifications!A:C,3,FALSE))</f>
        <v>West Lindsey</v>
      </c>
      <c r="C53" t="s">
        <v>27</v>
      </c>
      <c r="D53" t="str">
        <f>VLOOKUP($C53,classifications!$C:$J,4,FALSE)</f>
        <v>SD</v>
      </c>
      <c r="E53">
        <f>VLOOKUP(C53,classifications!C:K,9,FALSE)</f>
        <v>0</v>
      </c>
      <c r="F53">
        <f t="shared" si="0"/>
        <v>100</v>
      </c>
      <c r="G53" s="15"/>
      <c r="H53" s="41">
        <f t="shared" si="1"/>
        <v>100</v>
      </c>
      <c r="I53" s="73">
        <f>IF(H53="","",IF($I$8="A",(RANK(H53,H$11:H$333,1)+COUNTIF(H$11:H53,H53)-1),(RANK(H53,H$11:H$333)+COUNTIF(H$11:H53,H53)-1)))</f>
        <v>9</v>
      </c>
      <c r="J53" s="40"/>
      <c r="K53" s="35">
        <f t="shared" si="10"/>
        <v>43</v>
      </c>
      <c r="L53" t="str">
        <f t="shared" si="2"/>
        <v>New Forest</v>
      </c>
      <c r="M53" s="109">
        <f t="shared" si="3"/>
        <v>100</v>
      </c>
      <c r="N53" s="104">
        <f t="shared" si="19"/>
        <v>100</v>
      </c>
      <c r="O53" s="89">
        <f t="shared" si="20"/>
        <v>100</v>
      </c>
      <c r="P53" s="89" t="str">
        <f t="shared" si="21"/>
        <v/>
      </c>
      <c r="Q53" s="89" t="str">
        <f t="shared" si="22"/>
        <v/>
      </c>
      <c r="R53" s="85" t="str">
        <f t="shared" si="23"/>
        <v/>
      </c>
      <c r="S53" s="41" t="str">
        <f t="shared" si="24"/>
        <v/>
      </c>
      <c r="T53" s="166" t="str">
        <f>IF(L53="","",VLOOKUP(L53,classifications!C:K,9,FALSE))</f>
        <v>Sparse</v>
      </c>
      <c r="U53" s="167">
        <f t="shared" si="25"/>
        <v>100</v>
      </c>
      <c r="V53" s="173">
        <f>IF(U53="","",IF($I$8="A",(RANK(U53,U$11:U$333)+COUNTIF(U$11:U53,U53)-1),(RANK(U53,U$11:U$333,1)+COUNTIF(U$11:U53,U53)-1)))</f>
        <v>37</v>
      </c>
      <c r="W53" s="174"/>
      <c r="X53" s="5" t="str">
        <f>IF(L53="","",VLOOKUP($L53,classifications!$C:$J,6,FALSE))</f>
        <v>Urban with Significant Rural</v>
      </c>
      <c r="Y53" t="str">
        <f t="shared" si="26"/>
        <v/>
      </c>
      <c r="Z53" s="39" t="str">
        <f>IF(Y53="","",IF(I$8="A",(RANK(Y53,Y$11:Y$333,1)+COUNTIF(Y$11:Y53,Y53)-1),(RANK(Y53,Y$11:Y$333)+COUNTIF(Y$11:Y53,Y53)-1)))</f>
        <v/>
      </c>
      <c r="AA53" s="177" t="str">
        <f>IF(L53="","",VLOOKUP($L53,classifications!C:I,7,FALSE))</f>
        <v>Urban with Significant Rural</v>
      </c>
      <c r="AB53" s="173" t="str">
        <f t="shared" si="27"/>
        <v/>
      </c>
      <c r="AC53" s="173" t="str">
        <f>IF(AB53="","",IF($I$8="A",(RANK(AB53,AB$11:AB$333)+COUNTIF(AB$11:AB53,AB53)-1),(RANK(AB53,AB$11:AB$333,1)+COUNTIF(AB$11:AB53,AB53)-1)))</f>
        <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Hampshire</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South East</v>
      </c>
      <c r="AQ53" s="42" t="str">
        <f t="shared" si="30"/>
        <v/>
      </c>
      <c r="AR53" s="39" t="str">
        <f>IF(AQ53="","",IF(I$8="A",(RANK(AQ53,AQ$11:AQ$333,1)+COUNTIF(AQ$11:AQ53,AQ53)-1),(RANK(AQ53,AQ$11:AQ$333)+COUNTIF(AQ$11:AQ53,AQ53)-1)))</f>
        <v/>
      </c>
      <c r="AS53" s="3" t="str">
        <f t="shared" si="18"/>
        <v/>
      </c>
      <c r="AT53" s="39" t="str">
        <f t="shared" si="8"/>
        <v/>
      </c>
      <c r="AU53" s="42" t="str">
        <f t="shared" si="9"/>
        <v/>
      </c>
      <c r="AX53">
        <f>HLOOKUP($AX$9&amp;$AX$10,Data!$A$1:$ZT$1975,(MATCH($C53,Data!$A$1:$A$1975,0)),FALSE)</f>
        <v>100</v>
      </c>
    </row>
    <row r="54" spans="1:50">
      <c r="A54" s="55" t="str">
        <f>$D$1&amp;44</f>
        <v>SD44</v>
      </c>
      <c r="B54" s="56" t="str">
        <f>IF(ISERROR(VLOOKUP(A54,classifications!A:C,3,FALSE)),0,VLOOKUP(A54,classifications!A:C,3,FALSE))</f>
        <v>West Oxfordshire</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Newcastle-under-Lyme</v>
      </c>
      <c r="M54" s="109">
        <f t="shared" si="3"/>
        <v>100</v>
      </c>
      <c r="N54" s="104">
        <f t="shared" si="19"/>
        <v>100</v>
      </c>
      <c r="O54" s="89">
        <f t="shared" si="20"/>
        <v>100</v>
      </c>
      <c r="P54" s="89" t="str">
        <f t="shared" si="21"/>
        <v/>
      </c>
      <c r="Q54" s="89" t="str">
        <f t="shared" si="22"/>
        <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Predominantly Urban</v>
      </c>
      <c r="Y54" t="str">
        <f t="shared" si="26"/>
        <v/>
      </c>
      <c r="Z54" s="39" t="str">
        <f>IF(Y54="","",IF(I$8="A",(RANK(Y54,Y$11:Y$333,1)+COUNTIF(Y$11:Y54,Y54)-1),(RANK(Y54,Y$11:Y$333)+COUNTIF(Y$11:Y54,Y54)-1)))</f>
        <v/>
      </c>
      <c r="AA54" s="177" t="str">
        <f>IF(L54="","",VLOOKUP($L54,classifications!C:I,7,FALSE))</f>
        <v>Predominantly Urban</v>
      </c>
      <c r="AB54" s="173" t="str">
        <f t="shared" si="27"/>
        <v/>
      </c>
      <c r="AC54" s="173" t="str">
        <f>IF(AB54="","",IF($I$8="A",(RANK(AB54,AB$11:AB$333)+COUNTIF(AB$11:AB54,AB54)-1),(RANK(AB54,AB$11:AB$333,1)+COUNTIF(AB$11:AB54,AB54)-1)))</f>
        <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Staffordshire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West Midlands</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SD45</v>
      </c>
      <c r="B55" s="56" t="str">
        <f>IF(ISERROR(VLOOKUP(A55,classifications!A:C,3,FALSE)),0,VLOOKUP(A55,classifications!A:C,3,FALSE))</f>
        <v>West Suffolk</v>
      </c>
      <c r="C55" t="s">
        <v>200</v>
      </c>
      <c r="D55" t="str">
        <f>VLOOKUP($C55,classifications!$C:$J,4,FALSE)</f>
        <v>L</v>
      </c>
      <c r="E55">
        <f>VLOOKUP(C55,classifications!C:K,9,FALSE)</f>
        <v>0</v>
      </c>
      <c r="F55">
        <f t="shared" si="0"/>
        <v>50</v>
      </c>
      <c r="G55" s="15"/>
      <c r="H55" s="41" t="str">
        <f t="shared" si="1"/>
        <v/>
      </c>
      <c r="I55" s="73" t="str">
        <f>IF(H55="","",IF($I$8="A",(RANK(H55,H$11:H$333,1)+COUNTIF(H$11:H55,H55)-1),(RANK(H55,H$11:H$333)+COUNTIF(H$11:H55,H55)-1)))</f>
        <v/>
      </c>
      <c r="J55" s="40"/>
      <c r="K55" s="35">
        <f t="shared" si="10"/>
        <v>45</v>
      </c>
      <c r="L55" t="str">
        <f t="shared" si="2"/>
        <v>North Devon</v>
      </c>
      <c r="M55" s="109">
        <f t="shared" si="3"/>
        <v>100</v>
      </c>
      <c r="N55" s="104">
        <f t="shared" si="19"/>
        <v>100</v>
      </c>
      <c r="O55" s="89">
        <f t="shared" si="20"/>
        <v>100</v>
      </c>
      <c r="P55" s="89" t="str">
        <f t="shared" si="21"/>
        <v/>
      </c>
      <c r="Q55" s="89" t="str">
        <f t="shared" si="22"/>
        <v/>
      </c>
      <c r="R55" s="85" t="str">
        <f t="shared" si="23"/>
        <v/>
      </c>
      <c r="S55" s="41" t="str">
        <f t="shared" si="24"/>
        <v/>
      </c>
      <c r="T55" s="166" t="str">
        <f>IF(L55="","",VLOOKUP(L55,classifications!C:K,9,FALSE))</f>
        <v>Sparse</v>
      </c>
      <c r="U55" s="167">
        <f t="shared" si="25"/>
        <v>100</v>
      </c>
      <c r="V55" s="173">
        <f>IF(U55="","",IF($I$8="A",(RANK(U55,U$11:U$333)+COUNTIF(U$11:U55,U55)-1),(RANK(U55,U$11:U$333,1)+COUNTIF(U$11:U55,U55)-1)))</f>
        <v>38</v>
      </c>
      <c r="W55" s="174"/>
      <c r="X55" s="5" t="str">
        <f>IF(L55="","",VLOOKUP($L55,classifications!$C:$J,6,FALSE))</f>
        <v xml:space="preserve">Predominantly Rural </v>
      </c>
      <c r="Y55">
        <f t="shared" si="26"/>
        <v>100</v>
      </c>
      <c r="Z55" s="39">
        <f>IF(Y55="","",IF(I$8="A",(RANK(Y55,Y$11:Y$333,1)+COUNTIF(Y$11:Y55,Y55)-1),(RANK(Y55,Y$11:Y$333)+COUNTIF(Y$11:Y55,Y55)-1)))</f>
        <v>11</v>
      </c>
      <c r="AA55" s="177" t="str">
        <f>IF(L55="","",VLOOKUP($L55,classifications!C:I,7,FALSE))</f>
        <v>Predominantly Rural</v>
      </c>
      <c r="AB55" s="173">
        <f t="shared" si="27"/>
        <v>100</v>
      </c>
      <c r="AC55" s="173">
        <f>IF(AB55="","",IF($I$8="A",(RANK(AB55,AB$11:AB$333)+COUNTIF(AB$11:AB55,AB55)-1),(RANK(AB55,AB$11:AB$333,1)+COUNTIF(AB$11:AB55,AB55)-1)))</f>
        <v>45</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Devon</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South West</v>
      </c>
      <c r="AQ55" s="42" t="str">
        <f t="shared" si="30"/>
        <v/>
      </c>
      <c r="AR55" s="39" t="str">
        <f>IF(AQ55="","",IF(I$8="A",(RANK(AQ55,AQ$11:AQ$333,1)+COUNTIF(AQ$11:AQ55,AQ55)-1),(RANK(AQ55,AQ$11:AQ$333)+COUNTIF(AQ$11:AQ55,AQ55)-1)))</f>
        <v/>
      </c>
      <c r="AS55" s="3" t="str">
        <f t="shared" si="18"/>
        <v/>
      </c>
      <c r="AT55" s="39" t="str">
        <f t="shared" si="8"/>
        <v/>
      </c>
      <c r="AU55" s="42" t="str">
        <f t="shared" si="9"/>
        <v/>
      </c>
      <c r="AX55">
        <f>HLOOKUP($AX$9&amp;$AX$10,Data!$A$1:$ZT$1975,(MATCH($C55,Data!$A$1:$A$1975,0)),FALSE)</f>
        <v>50</v>
      </c>
    </row>
    <row r="56" spans="1:50">
      <c r="A56" s="55" t="str">
        <f>$D$1&amp;46</f>
        <v>SD46</v>
      </c>
      <c r="B56" s="56" t="str">
        <f>IF(ISERROR(VLOOKUP(A56,classifications!A:C,3,FALSE)),0,VLOOKUP(A56,classifications!A:C,3,FALSE))</f>
        <v>Wychavon</v>
      </c>
      <c r="C56" t="s">
        <v>28</v>
      </c>
      <c r="D56" t="str">
        <f>VLOOKUP($C56,classifications!$C:$J,4,FALSE)</f>
        <v>SD</v>
      </c>
      <c r="E56">
        <f>VLOOKUP(C56,classifications!C:K,9,FALSE)</f>
        <v>0</v>
      </c>
      <c r="F56">
        <f t="shared" si="0"/>
        <v>66.666666666666657</v>
      </c>
      <c r="G56" s="15"/>
      <c r="H56" s="41">
        <f t="shared" si="1"/>
        <v>66.666666666666657</v>
      </c>
      <c r="I56" s="73">
        <f>IF(H56="","",IF($I$8="A",(RANK(H56,H$11:H$333,1)+COUNTIF(H$11:H56,H56)-1),(RANK(H56,H$11:H$333)+COUNTIF(H$11:H56,H56)-1)))</f>
        <v>140</v>
      </c>
      <c r="J56" s="40"/>
      <c r="K56" s="35">
        <f t="shared" si="10"/>
        <v>46</v>
      </c>
      <c r="L56" t="str">
        <f t="shared" si="2"/>
        <v>North East Derbyshire</v>
      </c>
      <c r="M56" s="109">
        <f t="shared" si="3"/>
        <v>100</v>
      </c>
      <c r="N56" s="104">
        <f t="shared" si="19"/>
        <v>100</v>
      </c>
      <c r="O56" s="89">
        <f t="shared" si="20"/>
        <v>100</v>
      </c>
      <c r="P56" s="89" t="str">
        <f t="shared" si="21"/>
        <v/>
      </c>
      <c r="Q56" s="89" t="str">
        <f t="shared" si="22"/>
        <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Derbyshire</v>
      </c>
      <c r="AJ56" s="42" t="str">
        <f t="shared" si="29"/>
        <v/>
      </c>
      <c r="AK56" s="39" t="str">
        <f>IF(AJ56="","",IF(I$8="A",(RANK(AJ56,AJ$11:AJ$333,1)+COUNTIF(AJ$11:AJ56,AJ56)-1),(RANK(AJ56,AJ$11:AJ$333)+COUNTIF(AJ$11:AJ56,AJ56)-1)))</f>
        <v/>
      </c>
      <c r="AL56" s="3" t="str">
        <f t="shared" si="16"/>
        <v/>
      </c>
      <c r="AM56" t="str">
        <f t="shared" si="6"/>
        <v/>
      </c>
      <c r="AN56" t="str">
        <f t="shared" si="7"/>
        <v/>
      </c>
      <c r="AP56" s="5" t="str">
        <f>IF(L56="","",VLOOKUP($L56,classifications!$C:$E,3,FALSE))</f>
        <v>East Midlands</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66.666666666666657</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88.888888888888886</v>
      </c>
      <c r="G57" s="15"/>
      <c r="H57" s="41">
        <f t="shared" si="1"/>
        <v>88.888888888888886</v>
      </c>
      <c r="I57" s="73">
        <f>IF(H57="","",IF($I$8="A",(RANK(H57,H$11:H$333,1)+COUNTIF(H$11:H57,H57)-1),(RANK(H57,H$11:H$333)+COUNTIF(H$11:H57,H57)-1)))</f>
        <v>95</v>
      </c>
      <c r="J57" s="40"/>
      <c r="K57" s="35">
        <f t="shared" si="10"/>
        <v>47</v>
      </c>
      <c r="L57" t="str">
        <f t="shared" si="2"/>
        <v>North Kesteven</v>
      </c>
      <c r="M57" s="109">
        <f t="shared" si="3"/>
        <v>100</v>
      </c>
      <c r="N57" s="104">
        <f t="shared" si="19"/>
        <v>100</v>
      </c>
      <c r="O57" s="89">
        <f t="shared" si="20"/>
        <v>100</v>
      </c>
      <c r="P57" s="89" t="str">
        <f t="shared" si="21"/>
        <v/>
      </c>
      <c r="Q57" s="89" t="str">
        <f t="shared" si="22"/>
        <v/>
      </c>
      <c r="R57" s="85" t="str">
        <f t="shared" si="23"/>
        <v/>
      </c>
      <c r="S57" s="41" t="str">
        <f t="shared" si="24"/>
        <v/>
      </c>
      <c r="T57" s="166" t="str">
        <f>IF(L57="","",VLOOKUP(L57,classifications!C:K,9,FALSE))</f>
        <v>Sparse</v>
      </c>
      <c r="U57" s="167">
        <f t="shared" si="25"/>
        <v>100</v>
      </c>
      <c r="V57" s="173">
        <f>IF(U57="","",IF($I$8="A",(RANK(U57,U$11:U$333)+COUNTIF(U$11:U57,U57)-1),(RANK(U57,U$11:U$333,1)+COUNTIF(U$11:U57,U57)-1)))</f>
        <v>39</v>
      </c>
      <c r="W57" s="174"/>
      <c r="X57" s="5" t="str">
        <f>IF(L57="","",VLOOKUP($L57,classifications!$C:$J,6,FALSE))</f>
        <v xml:space="preserve">Predominantly Rural </v>
      </c>
      <c r="Y57">
        <f t="shared" si="26"/>
        <v>100</v>
      </c>
      <c r="Z57" s="39">
        <f>IF(Y57="","",IF(I$8="A",(RANK(Y57,Y$11:Y$333,1)+COUNTIF(Y$11:Y57,Y57)-1),(RANK(Y57,Y$11:Y$333)+COUNTIF(Y$11:Y57,Y57)-1)))</f>
        <v>12</v>
      </c>
      <c r="AA57" s="177" t="str">
        <f>IF(L57="","",VLOOKUP($L57,classifications!C:I,7,FALSE))</f>
        <v>Predominantly Rural</v>
      </c>
      <c r="AB57" s="173">
        <f t="shared" si="27"/>
        <v>100</v>
      </c>
      <c r="AC57" s="173">
        <f>IF(AB57="","",IF($I$8="A",(RANK(AB57,AB$11:AB$333)+COUNTIF(AB$11:AB57,AB57)-1),(RANK(AB57,AB$11:AB$333,1)+COUNTIF(AB$11:AB57,AB57)-1)))</f>
        <v>46</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Lincolnshire</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East Midlands</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88.888888888888886</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66.666666666666657</v>
      </c>
      <c r="G58" s="15"/>
      <c r="H58" s="41">
        <f t="shared" si="1"/>
        <v>66.666666666666657</v>
      </c>
      <c r="I58" s="73">
        <f>IF(H58="","",IF($I$8="A",(RANK(H58,H$11:H$333,1)+COUNTIF(H$11:H58,H58)-1),(RANK(H58,H$11:H$333)+COUNTIF(H$11:H58,H58)-1)))</f>
        <v>141</v>
      </c>
      <c r="J58" s="40"/>
      <c r="K58" s="35">
        <f t="shared" si="10"/>
        <v>48</v>
      </c>
      <c r="L58" t="str">
        <f t="shared" si="2"/>
        <v>North Norfolk</v>
      </c>
      <c r="M58" s="109">
        <f t="shared" si="3"/>
        <v>100</v>
      </c>
      <c r="N58" s="104">
        <f t="shared" ref="N58:N121" si="31">IF(L58="","",IF($H$8="%%",M58*100,M58))</f>
        <v>100</v>
      </c>
      <c r="O58" s="89">
        <f t="shared" ref="O58:O121" si="32">IF(I$8="A",IF(N58&gt;=$P$7,IF(N58&lt;=$O$10,N58,""),""),IF(N58&lt;=$P$7,IF(N58&gt;=$O$10,N58,""),""))</f>
        <v>100</v>
      </c>
      <c r="P58" s="89" t="str">
        <f t="shared" ref="P58:P121" si="33">IF(I$8="A",IF(N58&gt;$O$10,IF(N58&lt;=$P$10,N58,""),""),IF(N58&lt;$O$10,IF(N58&gt;=$P$10,N58,""),""))</f>
        <v/>
      </c>
      <c r="Q58" s="89" t="str">
        <f t="shared" ref="Q58:Q121" si="34">IF(I$8="A",IF(N58&gt;$P$10,IF(N58&lt;=$Q$10,N58,""),""),IF(N58&lt;$P$10,IF(N58&gt;=$Q$10,N58,""),""))</f>
        <v/>
      </c>
      <c r="R58" s="85" t="str">
        <f t="shared" ref="R58:R121" si="35">IF(I$8="A",IF(N58&gt;$Q$10,N58,""),IF(N58&lt;$Q$10,N58,""))</f>
        <v/>
      </c>
      <c r="S58" s="41" t="str">
        <f t="shared" ref="S58:S121" si="36">IF(L58=D$3,"u","")</f>
        <v/>
      </c>
      <c r="T58" s="166" t="str">
        <f>IF(L58="","",VLOOKUP(L58,classifications!C:K,9,FALSE))</f>
        <v>Sparse</v>
      </c>
      <c r="U58" s="167">
        <f t="shared" ref="U58:U121" si="37">IF(T58="Sparse",M58,"")</f>
        <v>100</v>
      </c>
      <c r="V58" s="173">
        <f>IF(U58="","",IF($I$8="A",(RANK(U58,U$11:U$333)+COUNTIF(U$11:U58,U58)-1),(RANK(U58,U$11:U$333,1)+COUNTIF(U$11:U58,U58)-1)))</f>
        <v>40</v>
      </c>
      <c r="W58" s="174"/>
      <c r="X58" s="5" t="str">
        <f>IF(L58="","",VLOOKUP($L58,classifications!$C:$J,6,FALSE))</f>
        <v xml:space="preserve">Predominantly Rural </v>
      </c>
      <c r="Y58">
        <f t="shared" ref="Y58:Y121" si="38">IF($D$1="UA",IF(X58="Predominantly Rural ",M58,IF(X58="Predominantly Rural ",M58,IF(X58="Urban with Significant Rural",M58,""))),IF($D$1="SD",IF(X58=$H$3,M58,"")))</f>
        <v>100</v>
      </c>
      <c r="Z58" s="39">
        <f>IF(Y58="","",IF(I$8="A",(RANK(Y58,Y$11:Y$333,1)+COUNTIF(Y$11:Y58,Y58)-1),(RANK(Y58,Y$11:Y$333)+COUNTIF(Y$11:Y58,Y58)-1)))</f>
        <v>13</v>
      </c>
      <c r="AA58" s="177" t="str">
        <f>IF(L58="","",VLOOKUP($L58,classifications!C:I,7,FALSE))</f>
        <v>Predominantly Rural</v>
      </c>
      <c r="AB58" s="173">
        <f t="shared" ref="AB58:AB121" si="39">IF(AA58=$J$3,M58,"")</f>
        <v>100</v>
      </c>
      <c r="AC58" s="173">
        <f>IF(AB58="","",IF($I$8="A",(RANK(AB58,AB$11:AB$333)+COUNTIF(AB$11:AB58,AB58)-1),(RANK(AB58,AB$11:AB$333,1)+COUNTIF(AB$11:AB58,AB58)-1)))</f>
        <v>47</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Norfolk</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East of England</v>
      </c>
      <c r="AQ58" s="42">
        <f t="shared" ref="AQ58:AQ121" si="42">IF(AP58=$G$3,$M58,"")</f>
        <v>100</v>
      </c>
      <c r="AR58" s="39">
        <f>IF(AQ58="","",IF(I$8="A",(RANK(AQ58,AQ$11:AQ$333,1)+COUNTIF(AQ$11:AQ58,AQ58)-1),(RANK(AQ58,AQ$11:AQ$333)+COUNTIF(AQ$11:AQ58,AQ58)-1)))</f>
        <v>11</v>
      </c>
      <c r="AS58" s="3" t="str">
        <f t="shared" si="18"/>
        <v/>
      </c>
      <c r="AT58" s="39" t="str">
        <f t="shared" si="8"/>
        <v/>
      </c>
      <c r="AU58" s="42" t="str">
        <f t="shared" si="9"/>
        <v/>
      </c>
      <c r="AX58">
        <f>HLOOKUP($AX$9&amp;$AX$10,Data!$A$1:$ZT$1975,(MATCH($C58,Data!$A$1:$A$1975,0)),FALSE)</f>
        <v>66.666666666666657</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88.461538461538453</v>
      </c>
      <c r="G59" s="15"/>
      <c r="H59" s="41" t="str">
        <f t="shared" si="1"/>
        <v/>
      </c>
      <c r="I59" s="73" t="str">
        <f>IF(H59="","",IF($I$8="A",(RANK(H59,H$11:H$333,1)+COUNTIF(H$11:H59,H59)-1),(RANK(H59,H$11:H$333)+COUNTIF(H$11:H59,H59)-1)))</f>
        <v/>
      </c>
      <c r="J59" s="40"/>
      <c r="K59" s="35">
        <f t="shared" si="10"/>
        <v>49</v>
      </c>
      <c r="L59" t="str">
        <f t="shared" si="2"/>
        <v>North Warwickshire</v>
      </c>
      <c r="M59" s="109">
        <f t="shared" si="3"/>
        <v>100</v>
      </c>
      <c r="N59" s="104">
        <f t="shared" si="31"/>
        <v>100</v>
      </c>
      <c r="O59" s="89">
        <f t="shared" si="32"/>
        <v>100</v>
      </c>
      <c r="P59" s="89" t="str">
        <f t="shared" si="33"/>
        <v/>
      </c>
      <c r="Q59" s="89" t="str">
        <f t="shared" si="34"/>
        <v/>
      </c>
      <c r="R59" s="85" t="str">
        <f t="shared" si="35"/>
        <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 xml:space="preserve">Predominantly Rural </v>
      </c>
      <c r="Y59">
        <f t="shared" si="38"/>
        <v>100</v>
      </c>
      <c r="Z59" s="39">
        <f>IF(Y59="","",IF(I$8="A",(RANK(Y59,Y$11:Y$333,1)+COUNTIF(Y$11:Y59,Y59)-1),(RANK(Y59,Y$11:Y$333)+COUNTIF(Y$11:Y59,Y59)-1)))</f>
        <v>14</v>
      </c>
      <c r="AA59" s="177" t="str">
        <f>IF(L59="","",VLOOKUP($L59,classifications!C:I,7,FALSE))</f>
        <v>Predominantly Rural</v>
      </c>
      <c r="AB59" s="173">
        <f t="shared" si="39"/>
        <v>100</v>
      </c>
      <c r="AC59" s="173">
        <f>IF(AB59="","",IF($I$8="A",(RANK(AB59,AB$11:AB$333)+COUNTIF(AB$11:AB59,AB59)-1),(RANK(AB59,AB$11:AB$333,1)+COUNTIF(AB$11:AB59,AB59)-1)))</f>
        <v>48</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Warwickshire</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West Midlands</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88.461538461538453</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100</v>
      </c>
      <c r="G60" s="15"/>
      <c r="H60" s="41">
        <f t="shared" si="1"/>
        <v>100</v>
      </c>
      <c r="I60" s="73">
        <f>IF(H60="","",IF($I$8="A",(RANK(H60,H$11:H$333,1)+COUNTIF(H$11:H60,H60)-1),(RANK(H60,H$11:H$333)+COUNTIF(H$11:H60,H60)-1)))</f>
        <v>10</v>
      </c>
      <c r="J60" s="40"/>
      <c r="K60" s="35">
        <f t="shared" si="10"/>
        <v>50</v>
      </c>
      <c r="L60" t="str">
        <f t="shared" si="2"/>
        <v>Norwich</v>
      </c>
      <c r="M60" s="109">
        <f t="shared" si="3"/>
        <v>100</v>
      </c>
      <c r="N60" s="104">
        <f t="shared" si="31"/>
        <v>100</v>
      </c>
      <c r="O60" s="89">
        <f t="shared" si="32"/>
        <v>100</v>
      </c>
      <c r="P60" s="89" t="str">
        <f t="shared" si="33"/>
        <v/>
      </c>
      <c r="Q60" s="89" t="str">
        <f t="shared" si="34"/>
        <v/>
      </c>
      <c r="R60" s="85" t="str">
        <f t="shared" si="35"/>
        <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Norfolk</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East of England</v>
      </c>
      <c r="AQ60" s="42">
        <f t="shared" si="42"/>
        <v>100</v>
      </c>
      <c r="AR60" s="39">
        <f>IF(AQ60="","",IF(I$8="A",(RANK(AQ60,AQ$11:AQ$333,1)+COUNTIF(AQ$11:AQ60,AQ60)-1),(RANK(AQ60,AQ$11:AQ$333)+COUNTIF(AQ$11:AQ60,AQ60)-1)))</f>
        <v>12</v>
      </c>
      <c r="AS60" s="3" t="str">
        <f t="shared" si="18"/>
        <v/>
      </c>
      <c r="AT60" s="39" t="str">
        <f t="shared" si="8"/>
        <v/>
      </c>
      <c r="AU60" s="42" t="str">
        <f t="shared" si="9"/>
        <v/>
      </c>
      <c r="AX60">
        <f>HLOOKUP($AX$9&amp;$AX$10,Data!$A$1:$ZT$1975,(MATCH($C60,Data!$A$1:$A$1975,0)),FALSE)</f>
        <v>100</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88.888888888888886</v>
      </c>
      <c r="G61" s="15"/>
      <c r="H61" s="41">
        <f t="shared" si="1"/>
        <v>88.888888888888886</v>
      </c>
      <c r="I61" s="73">
        <f>IF(H61="","",IF($I$8="A",(RANK(H61,H$11:H$333,1)+COUNTIF(H$11:H61,H61)-1),(RANK(H61,H$11:H$333)+COUNTIF(H$11:H61,H61)-1)))</f>
        <v>96</v>
      </c>
      <c r="J61" s="40"/>
      <c r="K61" s="35">
        <f t="shared" si="10"/>
        <v>51</v>
      </c>
      <c r="L61" t="str">
        <f t="shared" si="2"/>
        <v>Oxford</v>
      </c>
      <c r="M61" s="109">
        <f t="shared" si="3"/>
        <v>100</v>
      </c>
      <c r="N61" s="104">
        <f t="shared" si="31"/>
        <v>100</v>
      </c>
      <c r="O61" s="89">
        <f t="shared" si="32"/>
        <v>100</v>
      </c>
      <c r="P61" s="89" t="str">
        <f t="shared" si="33"/>
        <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Oxfordshire</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South East</v>
      </c>
      <c r="AQ61" s="42" t="str">
        <f t="shared" si="42"/>
        <v/>
      </c>
      <c r="AR61" s="39" t="str">
        <f>IF(AQ61="","",IF(I$8="A",(RANK(AQ61,AQ$11:AQ$333,1)+COUNTIF(AQ$11:AQ61,AQ61)-1),(RANK(AQ61,AQ$11:AQ$333)+COUNTIF(AQ$11:AQ61,AQ61)-1)))</f>
        <v/>
      </c>
      <c r="AS61" s="3" t="str">
        <f t="shared" si="18"/>
        <v/>
      </c>
      <c r="AT61" s="39" t="str">
        <f t="shared" si="8"/>
        <v/>
      </c>
      <c r="AU61" s="42" t="str">
        <f t="shared" si="9"/>
        <v/>
      </c>
      <c r="AX61">
        <f>HLOOKUP($AX$9&amp;$AX$10,Data!$A$1:$ZT$1975,(MATCH($C61,Data!$A$1:$A$1975,0)),FALSE)</f>
        <v>88.888888888888886</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75</v>
      </c>
      <c r="G62" s="15"/>
      <c r="H62" s="41">
        <f t="shared" si="1"/>
        <v>75</v>
      </c>
      <c r="I62" s="73">
        <f>IF(H62="","",IF($I$8="A",(RANK(H62,H$11:H$333,1)+COUNTIF(H$11:H62,H62)-1),(RANK(H62,H$11:H$333)+COUNTIF(H$11:H62,H62)-1)))</f>
        <v>129</v>
      </c>
      <c r="J62" s="40"/>
      <c r="K62" s="35">
        <f t="shared" si="10"/>
        <v>52</v>
      </c>
      <c r="L62" t="str">
        <f t="shared" si="2"/>
        <v>Pendle</v>
      </c>
      <c r="M62" s="109">
        <f t="shared" si="3"/>
        <v>100</v>
      </c>
      <c r="N62" s="104">
        <f t="shared" si="31"/>
        <v>100</v>
      </c>
      <c r="O62" s="89">
        <f t="shared" si="32"/>
        <v>100</v>
      </c>
      <c r="P62" s="89" t="str">
        <f t="shared" si="33"/>
        <v/>
      </c>
      <c r="Q62" s="89" t="str">
        <f t="shared" si="34"/>
        <v/>
      </c>
      <c r="R62" s="85" t="str">
        <f t="shared" si="35"/>
        <v/>
      </c>
      <c r="S62" s="41" t="str">
        <f t="shared" si="36"/>
        <v/>
      </c>
      <c r="T62" s="166">
        <f>IF(L62="","",VLOOKUP(L62,classifications!C:K,9,FALSE))</f>
        <v>0</v>
      </c>
      <c r="U62" s="167" t="str">
        <f t="shared" si="37"/>
        <v/>
      </c>
      <c r="V62" s="173" t="str">
        <f>IF(U62="","",IF($I$8="A",(RANK(U62,U$11:U$333)+COUNTIF(U$11:U62,U62)-1),(RANK(U62,U$11:U$333,1)+COUNTIF(U$11:U62,U62)-1)))</f>
        <v/>
      </c>
      <c r="W62" s="174"/>
      <c r="X62" s="5" t="str">
        <f>IF(L62="","",VLOOKUP($L62,classifications!$C:$J,6,FALSE))</f>
        <v>Predominantly Urban</v>
      </c>
      <c r="Y62" t="str">
        <f t="shared" si="38"/>
        <v/>
      </c>
      <c r="Z62" s="39" t="str">
        <f>IF(Y62="","",IF(I$8="A",(RANK(Y62,Y$11:Y$333,1)+COUNTIF(Y$11:Y62,Y62)-1),(RANK(Y62,Y$11:Y$333)+COUNTIF(Y$11:Y62,Y62)-1)))</f>
        <v/>
      </c>
      <c r="AA62" s="177" t="str">
        <f>IF(L62="","",VLOOKUP($L62,classifications!C:I,7,FALSE))</f>
        <v>Predominantly Urban</v>
      </c>
      <c r="AB62" s="173" t="str">
        <f t="shared" si="39"/>
        <v/>
      </c>
      <c r="AC62" s="173" t="str">
        <f>IF(AB62="","",IF($I$8="A",(RANK(AB62,AB$11:AB$333)+COUNTIF(AB$11:AB62,AB62)-1),(RANK(AB62,AB$11:AB$333,1)+COUNTIF(AB$11:AB62,AB62)-1)))</f>
        <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Lancashire</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North West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75</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92.857142857142861</v>
      </c>
      <c r="G63" s="15"/>
      <c r="H63" s="41">
        <f t="shared" si="1"/>
        <v>92.857142857142861</v>
      </c>
      <c r="I63" s="73">
        <f>IF(H63="","",IF($I$8="A",(RANK(H63,H$11:H$333,1)+COUNTIF(H$11:H63,H63)-1),(RANK(H63,H$11:H$333)+COUNTIF(H$11:H63,H63)-1)))</f>
        <v>88</v>
      </c>
      <c r="J63" s="40"/>
      <c r="K63" s="35">
        <f t="shared" si="10"/>
        <v>53</v>
      </c>
      <c r="L63" t="str">
        <f t="shared" si="2"/>
        <v>Preston</v>
      </c>
      <c r="M63" s="109">
        <f t="shared" si="3"/>
        <v>100</v>
      </c>
      <c r="N63" s="104">
        <f t="shared" si="31"/>
        <v>100</v>
      </c>
      <c r="O63" s="89">
        <f t="shared" si="32"/>
        <v>100</v>
      </c>
      <c r="P63" s="89" t="str">
        <f t="shared" si="33"/>
        <v/>
      </c>
      <c r="Q63" s="89" t="str">
        <f t="shared" si="34"/>
        <v/>
      </c>
      <c r="R63" s="85" t="str">
        <f t="shared" si="35"/>
        <v/>
      </c>
      <c r="S63" s="41" t="str">
        <f t="shared" si="36"/>
        <v/>
      </c>
      <c r="T63" s="166">
        <f>IF(L63="","",VLOOKUP(L63,classifications!C:K,9,FALSE))</f>
        <v>0</v>
      </c>
      <c r="U63" s="167" t="str">
        <f t="shared" si="37"/>
        <v/>
      </c>
      <c r="V63" s="173" t="str">
        <f>IF(U63="","",IF($I$8="A",(RANK(U63,U$11:U$333)+COUNTIF(U$11:U63,U63)-1),(RANK(U63,U$11:U$333,1)+COUNTIF(U$11:U63,U63)-1)))</f>
        <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Lancashire</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North West</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92.857142857142861</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90.909090909090907</v>
      </c>
      <c r="G64" s="15"/>
      <c r="H64" s="41" t="str">
        <f t="shared" si="1"/>
        <v/>
      </c>
      <c r="I64" s="73" t="str">
        <f>IF(H64="","",IF($I$8="A",(RANK(H64,H$11:H$333,1)+COUNTIF(H$11:H64,H64)-1),(RANK(H64,H$11:H$333)+COUNTIF(H$11:H64,H64)-1)))</f>
        <v/>
      </c>
      <c r="J64" s="40"/>
      <c r="K64" s="35">
        <f t="shared" si="10"/>
        <v>54</v>
      </c>
      <c r="L64" t="str">
        <f t="shared" si="2"/>
        <v>Redditch</v>
      </c>
      <c r="M64" s="109">
        <f t="shared" si="3"/>
        <v>100</v>
      </c>
      <c r="N64" s="104">
        <f t="shared" si="31"/>
        <v>100</v>
      </c>
      <c r="O64" s="89">
        <f t="shared" si="32"/>
        <v>100</v>
      </c>
      <c r="P64" s="89" t="str">
        <f t="shared" si="33"/>
        <v/>
      </c>
      <c r="Q64" s="89" t="str">
        <f t="shared" si="34"/>
        <v/>
      </c>
      <c r="R64" s="85" t="str">
        <f t="shared" si="35"/>
        <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Worcestershire</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West Midlands</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90.909090909090907</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100</v>
      </c>
      <c r="G65" s="15"/>
      <c r="H65" s="41" t="str">
        <f t="shared" si="1"/>
        <v/>
      </c>
      <c r="I65" s="73" t="str">
        <f>IF(H65="","",IF($I$8="A",(RANK(H65,H$11:H$333,1)+COUNTIF(H$11:H65,H65)-1),(RANK(H65,H$11:H$333)+COUNTIF(H$11:H65,H65)-1)))</f>
        <v/>
      </c>
      <c r="J65" s="40"/>
      <c r="K65" s="35">
        <f t="shared" si="10"/>
        <v>55</v>
      </c>
      <c r="L65" t="str">
        <f t="shared" si="2"/>
        <v>Reigate &amp; Banstead</v>
      </c>
      <c r="M65" s="109">
        <f t="shared" si="3"/>
        <v>100</v>
      </c>
      <c r="N65" s="104">
        <f t="shared" si="31"/>
        <v>100</v>
      </c>
      <c r="O65" s="89">
        <f t="shared" si="32"/>
        <v>100</v>
      </c>
      <c r="P65" s="89" t="str">
        <f t="shared" si="33"/>
        <v/>
      </c>
      <c r="Q65" s="89" t="str">
        <f t="shared" si="34"/>
        <v/>
      </c>
      <c r="R65" s="85" t="str">
        <f t="shared" si="35"/>
        <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Surrey</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South East</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100</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60</v>
      </c>
      <c r="G66" s="15"/>
      <c r="H66" s="41">
        <f t="shared" si="1"/>
        <v>60</v>
      </c>
      <c r="I66" s="73">
        <f>IF(H66="","",IF($I$8="A",(RANK(H66,H$11:H$333,1)+COUNTIF(H$11:H66,H66)-1),(RANK(H66,H$11:H$333)+COUNTIF(H$11:H66,H66)-1)))</f>
        <v>148</v>
      </c>
      <c r="J66" s="40"/>
      <c r="K66" s="35">
        <f t="shared" si="10"/>
        <v>56</v>
      </c>
      <c r="L66" t="str">
        <f t="shared" si="2"/>
        <v>Ribble Valley</v>
      </c>
      <c r="M66" s="109">
        <f t="shared" si="3"/>
        <v>100</v>
      </c>
      <c r="N66" s="104">
        <f t="shared" si="31"/>
        <v>100</v>
      </c>
      <c r="O66" s="89">
        <f t="shared" si="32"/>
        <v>100</v>
      </c>
      <c r="P66" s="89" t="str">
        <f t="shared" si="33"/>
        <v/>
      </c>
      <c r="Q66" s="89" t="str">
        <f t="shared" si="34"/>
        <v/>
      </c>
      <c r="R66" s="85" t="str">
        <f t="shared" si="35"/>
        <v/>
      </c>
      <c r="S66" s="41" t="str">
        <f t="shared" si="36"/>
        <v/>
      </c>
      <c r="T66" s="166" t="str">
        <f>IF(L66="","",VLOOKUP(L66,classifications!C:K,9,FALSE))</f>
        <v>Sparse</v>
      </c>
      <c r="U66" s="167">
        <f t="shared" si="37"/>
        <v>100</v>
      </c>
      <c r="V66" s="173">
        <f>IF(U66="","",IF($I$8="A",(RANK(U66,U$11:U$333)+COUNTIF(U$11:U66,U66)-1),(RANK(U66,U$11:U$333,1)+COUNTIF(U$11:U66,U66)-1)))</f>
        <v>41</v>
      </c>
      <c r="W66" s="174"/>
      <c r="X66" s="5" t="str">
        <f>IF(L66="","",VLOOKUP($L66,classifications!$C:$J,6,FALSE))</f>
        <v xml:space="preserve">Predominantly Rural </v>
      </c>
      <c r="Y66">
        <f t="shared" si="38"/>
        <v>100</v>
      </c>
      <c r="Z66" s="39">
        <f>IF(Y66="","",IF(I$8="A",(RANK(Y66,Y$11:Y$333,1)+COUNTIF(Y$11:Y66,Y66)-1),(RANK(Y66,Y$11:Y$333)+COUNTIF(Y$11:Y66,Y66)-1)))</f>
        <v>15</v>
      </c>
      <c r="AA66" s="177" t="str">
        <f>IF(L66="","",VLOOKUP($L66,classifications!C:I,7,FALSE))</f>
        <v>Predominantly Rural</v>
      </c>
      <c r="AB66" s="173">
        <f t="shared" si="39"/>
        <v>100</v>
      </c>
      <c r="AC66" s="173">
        <f>IF(AB66="","",IF($I$8="A",(RANK(AB66,AB$11:AB$333)+COUNTIF(AB$11:AB66,AB66)-1),(RANK(AB66,AB$11:AB$333,1)+COUNTIF(AB$11:AB66,AB66)-1)))</f>
        <v>49</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Lancashire</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North West</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60</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100</v>
      </c>
      <c r="G67" s="15"/>
      <c r="H67" s="41">
        <f t="shared" si="1"/>
        <v>100</v>
      </c>
      <c r="I67" s="73">
        <f>IF(H67="","",IF($I$8="A",(RANK(H67,H$11:H$333,1)+COUNTIF(H$11:H67,H67)-1),(RANK(H67,H$11:H$333)+COUNTIF(H$11:H67,H67)-1)))</f>
        <v>11</v>
      </c>
      <c r="J67" s="40"/>
      <c r="K67" s="35">
        <f t="shared" si="10"/>
        <v>57</v>
      </c>
      <c r="L67" t="str">
        <f t="shared" si="2"/>
        <v>Rochford</v>
      </c>
      <c r="M67" s="109">
        <f t="shared" si="3"/>
        <v>100</v>
      </c>
      <c r="N67" s="104">
        <f t="shared" si="31"/>
        <v>100</v>
      </c>
      <c r="O67" s="89">
        <f t="shared" si="32"/>
        <v>100</v>
      </c>
      <c r="P67" s="89" t="str">
        <f t="shared" si="33"/>
        <v/>
      </c>
      <c r="Q67" s="89" t="str">
        <f t="shared" si="34"/>
        <v/>
      </c>
      <c r="R67" s="85" t="str">
        <f t="shared" si="35"/>
        <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Predominantly Urban</v>
      </c>
      <c r="Y67" t="str">
        <f t="shared" si="38"/>
        <v/>
      </c>
      <c r="Z67" s="39" t="str">
        <f>IF(Y67="","",IF(I$8="A",(RANK(Y67,Y$11:Y$333,1)+COUNTIF(Y$11:Y67,Y67)-1),(RANK(Y67,Y$11:Y$333)+COUNTIF(Y$11:Y67,Y67)-1)))</f>
        <v/>
      </c>
      <c r="AA67" s="177" t="str">
        <f>IF(L67="","",VLOOKUP($L67,classifications!C:I,7,FALSE))</f>
        <v>Predominantly Urban</v>
      </c>
      <c r="AB67" s="173" t="str">
        <f t="shared" si="39"/>
        <v/>
      </c>
      <c r="AC67" s="173" t="str">
        <f>IF(AB67="","",IF($I$8="A",(RANK(AB67,AB$11:AB$333)+COUNTIF(AB$11:AB67,AB67)-1),(RANK(AB67,AB$11:AB$333,1)+COUNTIF(AB$11:AB67,AB67)-1)))</f>
        <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Essex</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East of England</v>
      </c>
      <c r="AQ67" s="42">
        <f t="shared" si="42"/>
        <v>100</v>
      </c>
      <c r="AR67" s="39">
        <f>IF(AQ67="","",IF(I$8="A",(RANK(AQ67,AQ$11:AQ$333,1)+COUNTIF(AQ$11:AQ67,AQ67)-1),(RANK(AQ67,AQ$11:AQ$333)+COUNTIF(AQ$11:AQ67,AQ67)-1)))</f>
        <v>13</v>
      </c>
      <c r="AS67" s="3" t="str">
        <f t="shared" si="18"/>
        <v/>
      </c>
      <c r="AT67" s="39" t="str">
        <f t="shared" si="8"/>
        <v/>
      </c>
      <c r="AU67" s="42" t="str">
        <f t="shared" si="9"/>
        <v/>
      </c>
      <c r="AX67">
        <f>HLOOKUP($AX$9&amp;$AX$10,Data!$A$1:$ZT$1975,(MATCH($C67,Data!$A$1:$A$1975,0)),FALSE)</f>
        <v>100</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100</v>
      </c>
      <c r="G68" s="15"/>
      <c r="H68" s="41">
        <f t="shared" si="1"/>
        <v>100</v>
      </c>
      <c r="I68" s="73">
        <f>IF(H68="","",IF($I$8="A",(RANK(H68,H$11:H$333,1)+COUNTIF(H$11:H68,H68)-1),(RANK(H68,H$11:H$333)+COUNTIF(H$11:H68,H68)-1)))</f>
        <v>12</v>
      </c>
      <c r="J68" s="40"/>
      <c r="K68" s="35">
        <f t="shared" si="10"/>
        <v>58</v>
      </c>
      <c r="L68" t="str">
        <f t="shared" si="2"/>
        <v>Rossendale</v>
      </c>
      <c r="M68" s="109">
        <f t="shared" si="3"/>
        <v>100</v>
      </c>
      <c r="N68" s="104">
        <f t="shared" si="31"/>
        <v>100</v>
      </c>
      <c r="O68" s="89">
        <f t="shared" si="32"/>
        <v>100</v>
      </c>
      <c r="P68" s="89" t="str">
        <f t="shared" si="33"/>
        <v/>
      </c>
      <c r="Q68" s="89" t="str">
        <f t="shared" si="34"/>
        <v/>
      </c>
      <c r="R68" s="85" t="str">
        <f t="shared" si="35"/>
        <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Lancashire</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North West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100</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Runnymede</v>
      </c>
      <c r="M69" s="109">
        <f t="shared" si="3"/>
        <v>100</v>
      </c>
      <c r="N69" s="104">
        <f t="shared" si="31"/>
        <v>100</v>
      </c>
      <c r="O69" s="89">
        <f t="shared" si="32"/>
        <v>100</v>
      </c>
      <c r="P69" s="89" t="str">
        <f t="shared" si="33"/>
        <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Predominantly Urban</v>
      </c>
      <c r="Y69" t="str">
        <f t="shared" si="38"/>
        <v/>
      </c>
      <c r="Z69" s="39" t="str">
        <f>IF(Y69="","",IF(I$8="A",(RANK(Y69,Y$11:Y$333,1)+COUNTIF(Y$11:Y69,Y69)-1),(RANK(Y69,Y$11:Y$333)+COUNTIF(Y$11:Y69,Y69)-1)))</f>
        <v/>
      </c>
      <c r="AA69" s="177" t="str">
        <f>IF(L69="","",VLOOKUP($L69,classifications!C:I,7,FALSE))</f>
        <v>Predominantly Urban</v>
      </c>
      <c r="AB69" s="173" t="str">
        <f t="shared" si="39"/>
        <v/>
      </c>
      <c r="AC69" s="173" t="str">
        <f>IF(AB69="","",IF($I$8="A",(RANK(AB69,AB$11:AB$333)+COUNTIF(AB$11:AB69,AB69)-1),(RANK(AB69,AB$11:AB$333,1)+COUNTIF(AB$11:AB69,AB69)-1)))</f>
        <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Surrey</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South East</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100</v>
      </c>
      <c r="G70" s="15"/>
      <c r="H70" s="41">
        <f t="shared" si="1"/>
        <v>100</v>
      </c>
      <c r="I70" s="73">
        <f>IF(H70="","",IF($I$8="A",(RANK(H70,H$11:H$333,1)+COUNTIF(H$11:H70,H70)-1),(RANK(H70,H$11:H$333)+COUNTIF(H$11:H70,H70)-1)))</f>
        <v>13</v>
      </c>
      <c r="J70" s="40"/>
      <c r="K70" s="35">
        <f t="shared" si="10"/>
        <v>60</v>
      </c>
      <c r="L70" t="str">
        <f t="shared" si="2"/>
        <v>Rushcliffe</v>
      </c>
      <c r="M70" s="109">
        <f t="shared" si="3"/>
        <v>100</v>
      </c>
      <c r="N70" s="104">
        <f t="shared" si="31"/>
        <v>100</v>
      </c>
      <c r="O70" s="89">
        <f t="shared" si="32"/>
        <v>100</v>
      </c>
      <c r="P70" s="89" t="str">
        <f t="shared" si="33"/>
        <v/>
      </c>
      <c r="Q70" s="89" t="str">
        <f t="shared" si="34"/>
        <v/>
      </c>
      <c r="R70" s="85" t="str">
        <f t="shared" si="35"/>
        <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 xml:space="preserve">Predominantly Rural </v>
      </c>
      <c r="Y70">
        <f t="shared" si="38"/>
        <v>100</v>
      </c>
      <c r="Z70" s="39">
        <f>IF(Y70="","",IF(I$8="A",(RANK(Y70,Y$11:Y$333,1)+COUNTIF(Y$11:Y70,Y70)-1),(RANK(Y70,Y$11:Y$333)+COUNTIF(Y$11:Y70,Y70)-1)))</f>
        <v>16</v>
      </c>
      <c r="AA70" s="177" t="str">
        <f>IF(L70="","",VLOOKUP($L70,classifications!C:I,7,FALSE))</f>
        <v>Predominantly Rural</v>
      </c>
      <c r="AB70" s="173">
        <f t="shared" si="39"/>
        <v>100</v>
      </c>
      <c r="AC70" s="173">
        <f>IF(AB70="","",IF($I$8="A",(RANK(AB70,AB$11:AB$333)+COUNTIF(AB$11:AB70,AB70)-1),(RANK(AB70,AB$11:AB$333,1)+COUNTIF(AB$11:AB70,AB70)-1)))</f>
        <v>50</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Nottinghamshire</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East Midlands</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87.878787878787875</v>
      </c>
      <c r="G71" s="15"/>
      <c r="H71" s="41" t="str">
        <f t="shared" si="1"/>
        <v/>
      </c>
      <c r="I71" s="73" t="str">
        <f>IF(H71="","",IF($I$8="A",(RANK(H71,H$11:H$333,1)+COUNTIF(H$11:H71,H71)-1),(RANK(H71,H$11:H$333)+COUNTIF(H$11:H71,H71)-1)))</f>
        <v/>
      </c>
      <c r="J71" s="40"/>
      <c r="K71" s="35">
        <f t="shared" si="10"/>
        <v>61</v>
      </c>
      <c r="L71" t="str">
        <f t="shared" si="2"/>
        <v>Rushmoor</v>
      </c>
      <c r="M71" s="109">
        <f t="shared" si="3"/>
        <v>100</v>
      </c>
      <c r="N71" s="104">
        <f t="shared" si="31"/>
        <v>100</v>
      </c>
      <c r="O71" s="89">
        <f t="shared" si="32"/>
        <v>100</v>
      </c>
      <c r="P71" s="89" t="str">
        <f t="shared" si="33"/>
        <v/>
      </c>
      <c r="Q71" s="89" t="str">
        <f t="shared" si="34"/>
        <v/>
      </c>
      <c r="R71" s="85" t="str">
        <f t="shared" si="35"/>
        <v/>
      </c>
      <c r="S71" s="41" t="str">
        <f t="shared" si="36"/>
        <v/>
      </c>
      <c r="T71" s="166">
        <f>IF(L71="","",VLOOKUP(L71,classifications!C:K,9,FALSE))</f>
        <v>0</v>
      </c>
      <c r="U71" s="167" t="str">
        <f t="shared" si="37"/>
        <v/>
      </c>
      <c r="V71" s="173" t="str">
        <f>IF(U71="","",IF($I$8="A",(RANK(U71,U$11:U$333)+COUNTIF(U$11:U71,U71)-1),(RANK(U71,U$11:U$333,1)+COUNTIF(U$11:U71,U71)-1)))</f>
        <v/>
      </c>
      <c r="W71" s="174"/>
      <c r="X71" s="5" t="str">
        <f>IF(L71="","",VLOOKUP($L71,classifications!$C:$J,6,FALSE))</f>
        <v>Predominantly Urban</v>
      </c>
      <c r="Y71" t="str">
        <f t="shared" si="38"/>
        <v/>
      </c>
      <c r="Z71" s="39" t="str">
        <f>IF(Y71="","",IF(I$8="A",(RANK(Y71,Y$11:Y$333,1)+COUNTIF(Y$11:Y71,Y71)-1),(RANK(Y71,Y$11:Y$333)+COUNTIF(Y$11:Y71,Y71)-1)))</f>
        <v/>
      </c>
      <c r="AA71" s="177" t="str">
        <f>IF(L71="","",VLOOKUP($L71,classifications!C:I,7,FALSE))</f>
        <v>Predominantly Urban</v>
      </c>
      <c r="AB71" s="173" t="str">
        <f t="shared" si="39"/>
        <v/>
      </c>
      <c r="AC71" s="173" t="str">
        <f>IF(AB71="","",IF($I$8="A",(RANK(AB71,AB$11:AB$333)+COUNTIF(AB$11:AB71,AB71)-1),(RANK(AB71,AB$11:AB$333,1)+COUNTIF(AB$11:AB71,AB71)-1)))</f>
        <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Hampshire</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South East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87.878787878787875</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71.428571428571431</v>
      </c>
      <c r="G72" s="15"/>
      <c r="H72" s="41">
        <f t="shared" si="1"/>
        <v>71.428571428571431</v>
      </c>
      <c r="I72" s="73">
        <f>IF(H72="","",IF($I$8="A",(RANK(H72,H$11:H$333,1)+COUNTIF(H$11:H72,H72)-1),(RANK(H72,H$11:H$333)+COUNTIF(H$11:H72,H72)-1)))</f>
        <v>133</v>
      </c>
      <c r="J72" s="40"/>
      <c r="K72" s="35">
        <f t="shared" si="10"/>
        <v>62</v>
      </c>
      <c r="L72" t="str">
        <f t="shared" si="2"/>
        <v>Sevenoaks</v>
      </c>
      <c r="M72" s="109">
        <f t="shared" si="3"/>
        <v>100</v>
      </c>
      <c r="N72" s="104">
        <f t="shared" si="31"/>
        <v>100</v>
      </c>
      <c r="O72" s="89">
        <f t="shared" si="32"/>
        <v>100</v>
      </c>
      <c r="P72" s="89" t="str">
        <f t="shared" si="33"/>
        <v/>
      </c>
      <c r="Q72" s="89" t="str">
        <f t="shared" si="34"/>
        <v/>
      </c>
      <c r="R72" s="85" t="str">
        <f t="shared" si="35"/>
        <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 xml:space="preserve">Predominantly Rural </v>
      </c>
      <c r="Y72">
        <f t="shared" si="38"/>
        <v>100</v>
      </c>
      <c r="Z72" s="39">
        <f>IF(Y72="","",IF(I$8="A",(RANK(Y72,Y$11:Y$333,1)+COUNTIF(Y$11:Y72,Y72)-1),(RANK(Y72,Y$11:Y$333)+COUNTIF(Y$11:Y72,Y72)-1)))</f>
        <v>17</v>
      </c>
      <c r="AA72" s="177" t="str">
        <f>IF(L72="","",VLOOKUP($L72,classifications!C:I,7,FALSE))</f>
        <v>Predominantly Rural</v>
      </c>
      <c r="AB72" s="173">
        <f t="shared" si="39"/>
        <v>100</v>
      </c>
      <c r="AC72" s="173">
        <f>IF(AB72="","",IF($I$8="A",(RANK(AB72,AB$11:AB$333)+COUNTIF(AB$11:AB72,AB72)-1),(RANK(AB72,AB$11:AB$333,1)+COUNTIF(AB$11:AB72,AB72)-1)))</f>
        <v>51</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Kent</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South East</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71.428571428571431</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95</v>
      </c>
      <c r="G73" s="15"/>
      <c r="H73" s="41" t="str">
        <f t="shared" si="1"/>
        <v/>
      </c>
      <c r="I73" s="73" t="str">
        <f>IF(H73="","",IF($I$8="A",(RANK(H73,H$11:H$333,1)+COUNTIF(H$11:H73,H73)-1),(RANK(H73,H$11:H$333)+COUNTIF(H$11:H73,H73)-1)))</f>
        <v/>
      </c>
      <c r="J73" s="40"/>
      <c r="K73" s="35">
        <f t="shared" si="10"/>
        <v>63</v>
      </c>
      <c r="L73" t="str">
        <f t="shared" si="2"/>
        <v>South Hams</v>
      </c>
      <c r="M73" s="109">
        <f t="shared" si="3"/>
        <v>100</v>
      </c>
      <c r="N73" s="104">
        <f t="shared" si="31"/>
        <v>100</v>
      </c>
      <c r="O73" s="89">
        <f t="shared" si="32"/>
        <v>100</v>
      </c>
      <c r="P73" s="89" t="str">
        <f t="shared" si="33"/>
        <v/>
      </c>
      <c r="Q73" s="89" t="str">
        <f t="shared" si="34"/>
        <v/>
      </c>
      <c r="R73" s="85" t="str">
        <f t="shared" si="35"/>
        <v/>
      </c>
      <c r="S73" s="41" t="str">
        <f t="shared" si="36"/>
        <v/>
      </c>
      <c r="T73" s="166" t="str">
        <f>IF(L73="","",VLOOKUP(L73,classifications!C:K,9,FALSE))</f>
        <v>Sparse</v>
      </c>
      <c r="U73" s="167">
        <f t="shared" si="37"/>
        <v>100</v>
      </c>
      <c r="V73" s="173">
        <f>IF(U73="","",IF($I$8="A",(RANK(U73,U$11:U$333)+COUNTIF(U$11:U73,U73)-1),(RANK(U73,U$11:U$333,1)+COUNTIF(U$11:U73,U73)-1)))</f>
        <v>42</v>
      </c>
      <c r="W73" s="174"/>
      <c r="X73" s="5" t="str">
        <f>IF(L73="","",VLOOKUP($L73,classifications!$C:$J,6,FALSE))</f>
        <v xml:space="preserve">Predominantly Rural </v>
      </c>
      <c r="Y73">
        <f t="shared" si="38"/>
        <v>100</v>
      </c>
      <c r="Z73" s="39">
        <f>IF(Y73="","",IF(I$8="A",(RANK(Y73,Y$11:Y$333,1)+COUNTIF(Y$11:Y73,Y73)-1),(RANK(Y73,Y$11:Y$333)+COUNTIF(Y$11:Y73,Y73)-1)))</f>
        <v>18</v>
      </c>
      <c r="AA73" s="177" t="str">
        <f>IF(L73="","",VLOOKUP($L73,classifications!C:I,7,FALSE))</f>
        <v>Predominantly Rural</v>
      </c>
      <c r="AB73" s="173">
        <f t="shared" si="39"/>
        <v>100</v>
      </c>
      <c r="AC73" s="173">
        <f>IF(AB73="","",IF($I$8="A",(RANK(AB73,AB$11:AB$333)+COUNTIF(AB$11:AB73,AB73)-1),(RANK(AB73,AB$11:AB$333,1)+COUNTIF(AB$11:AB73,AB73)-1)))</f>
        <v>52</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Devon</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South West</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95</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100</v>
      </c>
      <c r="G74" s="15"/>
      <c r="H74" s="41">
        <f t="shared" si="1"/>
        <v>100</v>
      </c>
      <c r="I74" s="73">
        <f>IF(H74="","",IF($I$8="A",(RANK(H74,H$11:H$333,1)+COUNTIF(H$11:H74,H74)-1),(RANK(H74,H$11:H$333)+COUNTIF(H$11:H74,H74)-1)))</f>
        <v>14</v>
      </c>
      <c r="J74" s="40"/>
      <c r="K74" s="35">
        <f t="shared" si="10"/>
        <v>64</v>
      </c>
      <c r="L74" t="str">
        <f t="shared" si="2"/>
        <v>South Oxfordshire</v>
      </c>
      <c r="M74" s="109">
        <f t="shared" si="3"/>
        <v>100</v>
      </c>
      <c r="N74" s="104">
        <f t="shared" si="31"/>
        <v>100</v>
      </c>
      <c r="O74" s="89">
        <f t="shared" si="32"/>
        <v>100</v>
      </c>
      <c r="P74" s="89" t="str">
        <f t="shared" si="33"/>
        <v/>
      </c>
      <c r="Q74" s="89" t="str">
        <f t="shared" si="34"/>
        <v/>
      </c>
      <c r="R74" s="85" t="str">
        <f t="shared" si="35"/>
        <v/>
      </c>
      <c r="S74" s="41" t="str">
        <f t="shared" si="36"/>
        <v/>
      </c>
      <c r="T74" s="166" t="str">
        <f>IF(L74="","",VLOOKUP(L74,classifications!C:K,9,FALSE))</f>
        <v>Sparse</v>
      </c>
      <c r="U74" s="167">
        <f t="shared" si="37"/>
        <v>100</v>
      </c>
      <c r="V74" s="173">
        <f>IF(U74="","",IF($I$8="A",(RANK(U74,U$11:U$333)+COUNTIF(U$11:U74,U74)-1),(RANK(U74,U$11:U$333,1)+COUNTIF(U$11:U74,U74)-1)))</f>
        <v>43</v>
      </c>
      <c r="W74" s="174"/>
      <c r="X74" s="5" t="str">
        <f>IF(L74="","",VLOOKUP($L74,classifications!$C:$J,6,FALSE))</f>
        <v xml:space="preserve">Predominantly Rural </v>
      </c>
      <c r="Y74">
        <f t="shared" si="38"/>
        <v>100</v>
      </c>
      <c r="Z74" s="39">
        <f>IF(Y74="","",IF(I$8="A",(RANK(Y74,Y$11:Y$333,1)+COUNTIF(Y$11:Y74,Y74)-1),(RANK(Y74,Y$11:Y$333)+COUNTIF(Y$11:Y74,Y74)-1)))</f>
        <v>19</v>
      </c>
      <c r="AA74" s="177" t="str">
        <f>IF(L74="","",VLOOKUP($L74,classifications!C:I,7,FALSE))</f>
        <v>Predominantly Rural</v>
      </c>
      <c r="AB74" s="173">
        <f t="shared" si="39"/>
        <v>100</v>
      </c>
      <c r="AC74" s="173">
        <f>IF(AB74="","",IF($I$8="A",(RANK(AB74,AB$11:AB$333)+COUNTIF(AB$11:AB74,AB74)-1),(RANK(AB74,AB$11:AB$333,1)+COUNTIF(AB$11:AB74,AB74)-1)))</f>
        <v>53</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Oxfordshire</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South East</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100</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South Ribble</v>
      </c>
      <c r="M75" s="109">
        <f t="shared" ref="M75:M138" si="46">IF(L75="","",IF(VLOOKUP(L75,C:D,2,FALSE)=$F$3,VLOOKUP(L75,C:H,6,FALSE),""))</f>
        <v>100</v>
      </c>
      <c r="N75" s="104">
        <f t="shared" si="31"/>
        <v>100</v>
      </c>
      <c r="O75" s="89">
        <f t="shared" si="32"/>
        <v>100</v>
      </c>
      <c r="P75" s="89" t="str">
        <f t="shared" si="33"/>
        <v/>
      </c>
      <c r="Q75" s="89" t="str">
        <f t="shared" si="34"/>
        <v/>
      </c>
      <c r="R75" s="85" t="str">
        <f t="shared" si="35"/>
        <v/>
      </c>
      <c r="S75" s="41" t="str">
        <f t="shared" si="36"/>
        <v/>
      </c>
      <c r="T75" s="166">
        <f>IF(L75="","",VLOOKUP(L75,classifications!C:K,9,FALSE))</f>
        <v>0</v>
      </c>
      <c r="U75" s="167" t="str">
        <f t="shared" si="37"/>
        <v/>
      </c>
      <c r="V75" s="173" t="str">
        <f>IF(U75="","",IF($I$8="A",(RANK(U75,U$11:U$333)+COUNTIF(U$11:U75,U75)-1),(RANK(U75,U$11:U$333,1)+COUNTIF(U$11:U75,U75)-1)))</f>
        <v/>
      </c>
      <c r="W75" s="174"/>
      <c r="X75" s="5" t="str">
        <f>IF(L75="","",VLOOKUP($L75,classifications!$C:$J,6,FALSE))</f>
        <v>Predominantly Urban</v>
      </c>
      <c r="Y75" t="str">
        <f t="shared" si="38"/>
        <v/>
      </c>
      <c r="Z75" s="39" t="str">
        <f>IF(Y75="","",IF(I$8="A",(RANK(Y75,Y$11:Y$333,1)+COUNTIF(Y$11:Y75,Y75)-1),(RANK(Y75,Y$11:Y$333)+COUNTIF(Y$11:Y75,Y75)-1)))</f>
        <v/>
      </c>
      <c r="AA75" s="177" t="str">
        <f>IF(L75="","",VLOOKUP($L75,classifications!C:I,7,FALSE))</f>
        <v>Predominantly Urban</v>
      </c>
      <c r="AB75" s="173" t="str">
        <f t="shared" si="39"/>
        <v/>
      </c>
      <c r="AC75" s="173" t="str">
        <f>IF(AB75="","",IF($I$8="A",(RANK(AB75,AB$11:AB$333)+COUNTIF(AB$11:AB75,AB75)-1),(RANK(AB75,AB$11:AB$333,1)+COUNTIF(AB$11:AB75,AB75)-1)))</f>
        <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Lancashire</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North West</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83.333333333333343</v>
      </c>
      <c r="G76" s="15"/>
      <c r="H76" s="41">
        <f t="shared" si="44"/>
        <v>83.333333333333343</v>
      </c>
      <c r="I76" s="73">
        <f>IF(H76="","",IF($I$8="A",(RANK(H76,H$11:H$333,1)+COUNTIF(H$11:H76,H76)-1),(RANK(H76,H$11:H$333)+COUNTIF(H$11:H76,H76)-1)))</f>
        <v>114</v>
      </c>
      <c r="J76" s="40"/>
      <c r="K76" s="35">
        <f t="shared" ref="K76:K139" si="51">IF(K75="","",IF(K75+1&gt;(COUNT(H$11:H$333)),"",K75+1))</f>
        <v>66</v>
      </c>
      <c r="L76" t="str">
        <f t="shared" si="45"/>
        <v>South Staffordshire</v>
      </c>
      <c r="M76" s="109">
        <f t="shared" si="46"/>
        <v>100</v>
      </c>
      <c r="N76" s="104">
        <f t="shared" si="31"/>
        <v>100</v>
      </c>
      <c r="O76" s="89">
        <f t="shared" si="32"/>
        <v>100</v>
      </c>
      <c r="P76" s="89" t="str">
        <f t="shared" si="33"/>
        <v/>
      </c>
      <c r="Q76" s="89" t="str">
        <f t="shared" si="34"/>
        <v/>
      </c>
      <c r="R76" s="85" t="str">
        <f t="shared" si="35"/>
        <v/>
      </c>
      <c r="S76" s="41" t="str">
        <f t="shared" si="36"/>
        <v/>
      </c>
      <c r="T76" s="166">
        <f>IF(L76="","",VLOOKUP(L76,classifications!C:K,9,FALSE))</f>
        <v>0</v>
      </c>
      <c r="U76" s="167" t="str">
        <f t="shared" si="37"/>
        <v/>
      </c>
      <c r="V76" s="173" t="str">
        <f>IF(U76="","",IF($I$8="A",(RANK(U76,U$11:U$333)+COUNTIF(U$11:U76,U76)-1),(RANK(U76,U$11:U$333,1)+COUNTIF(U$11:U76,U76)-1)))</f>
        <v/>
      </c>
      <c r="W76" s="174"/>
      <c r="X76" s="5" t="str">
        <f>IF(L76="","",VLOOKUP($L76,classifications!$C:$J,6,FALSE))</f>
        <v>Urban with Significant Rural</v>
      </c>
      <c r="Y76" t="str">
        <f t="shared" si="38"/>
        <v/>
      </c>
      <c r="Z76" s="39" t="str">
        <f>IF(Y76="","",IF(I$8="A",(RANK(Y76,Y$11:Y$333,1)+COUNTIF(Y$11:Y76,Y76)-1),(RANK(Y76,Y$11:Y$333)+COUNTIF(Y$11:Y76,Y76)-1)))</f>
        <v/>
      </c>
      <c r="AA76" s="177" t="str">
        <f>IF(L76="","",VLOOKUP($L76,classifications!C:I,7,FALSE))</f>
        <v>Urban with Significant Rural</v>
      </c>
      <c r="AB76" s="173" t="str">
        <f t="shared" si="39"/>
        <v/>
      </c>
      <c r="AC76" s="173" t="str">
        <f>IF(AB76="","",IF($I$8="A",(RANK(AB76,AB$11:AB$333)+COUNTIF(AB$11:AB76,AB76)-1),(RANK(AB76,AB$11:AB$333,1)+COUNTIF(AB$11:AB76,AB76)-1)))</f>
        <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Staffordshire</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West Midlands</v>
      </c>
      <c r="AQ76" s="42" t="str">
        <f t="shared" si="42"/>
        <v/>
      </c>
      <c r="AR76" s="39" t="str">
        <f>IF(AQ76="","",IF(I$8="A",(RANK(AQ76,AQ$11:AQ$333,1)+COUNTIF(AQ$11:AQ76,AQ76)-1),(RANK(AQ76,AQ$11:AQ$333)+COUNTIF(AQ$11:AQ76,AQ76)-1)))</f>
        <v/>
      </c>
      <c r="AS76" s="3" t="str">
        <f t="shared" ref="AS76:AS139" si="54">IF(AS75="","",IF(AS75+1&gt;(COUNT(AQ$11:AQ$333)),"",AS75+1))</f>
        <v/>
      </c>
      <c r="AT76" s="39" t="str">
        <f t="shared" si="49"/>
        <v/>
      </c>
      <c r="AU76" s="42" t="str">
        <f t="shared" si="50"/>
        <v/>
      </c>
      <c r="AX76">
        <f>HLOOKUP($AX$9&amp;$AX$10,Data!$A$1:$ZT$1975,(MATCH($C76,Data!$A$1:$A$1975,0)),FALSE)</f>
        <v>83.333333333333343</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80</v>
      </c>
      <c r="G77" s="15"/>
      <c r="H77" s="41" t="str">
        <f t="shared" si="44"/>
        <v/>
      </c>
      <c r="I77" s="73" t="str">
        <f>IF(H77="","",IF($I$8="A",(RANK(H77,H$11:H$333,1)+COUNTIF(H$11:H77,H77)-1),(RANK(H77,H$11:H$333)+COUNTIF(H$11:H77,H77)-1)))</f>
        <v/>
      </c>
      <c r="J77" s="40"/>
      <c r="K77" s="35">
        <f t="shared" si="51"/>
        <v>67</v>
      </c>
      <c r="L77" t="str">
        <f t="shared" si="45"/>
        <v>Spelthorne</v>
      </c>
      <c r="M77" s="109">
        <f t="shared" si="46"/>
        <v>100</v>
      </c>
      <c r="N77" s="104">
        <f t="shared" si="31"/>
        <v>100</v>
      </c>
      <c r="O77" s="89">
        <f t="shared" si="32"/>
        <v>100</v>
      </c>
      <c r="P77" s="89" t="str">
        <f t="shared" si="33"/>
        <v/>
      </c>
      <c r="Q77" s="89" t="str">
        <f t="shared" si="34"/>
        <v/>
      </c>
      <c r="R77" s="85" t="str">
        <f t="shared" si="35"/>
        <v/>
      </c>
      <c r="S77" s="41" t="str">
        <f t="shared" si="36"/>
        <v/>
      </c>
      <c r="T77" s="166">
        <f>IF(L77="","",VLOOKUP(L77,classifications!C:K,9,FALSE))</f>
        <v>0</v>
      </c>
      <c r="U77" s="167" t="str">
        <f t="shared" si="37"/>
        <v/>
      </c>
      <c r="V77" s="173" t="str">
        <f>IF(U77="","",IF($I$8="A",(RANK(U77,U$11:U$333)+COUNTIF(U$11:U77,U77)-1),(RANK(U77,U$11:U$333,1)+COUNTIF(U$11:U77,U77)-1)))</f>
        <v/>
      </c>
      <c r="W77" s="174"/>
      <c r="X77" s="5" t="str">
        <f>IF(L77="","",VLOOKUP($L77,classifications!$C:$J,6,FALSE))</f>
        <v>Predominantly Urban</v>
      </c>
      <c r="Y77" t="str">
        <f t="shared" si="38"/>
        <v/>
      </c>
      <c r="Z77" s="39" t="str">
        <f>IF(Y77="","",IF(I$8="A",(RANK(Y77,Y$11:Y$333,1)+COUNTIF(Y$11:Y77,Y77)-1),(RANK(Y77,Y$11:Y$333)+COUNTIF(Y$11:Y77,Y77)-1)))</f>
        <v/>
      </c>
      <c r="AA77" s="177" t="str">
        <f>IF(L77="","",VLOOKUP($L77,classifications!C:I,7,FALSE))</f>
        <v>Predominantly Urban</v>
      </c>
      <c r="AB77" s="173" t="str">
        <f t="shared" si="39"/>
        <v/>
      </c>
      <c r="AC77" s="173" t="str">
        <f>IF(AB77="","",IF($I$8="A",(RANK(AB77,AB$11:AB$333)+COUNTIF(AB$11:AB77,AB77)-1),(RANK(AB77,AB$11:AB$333,1)+COUNTIF(AB$11:AB77,AB77)-1)))</f>
        <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Surrey</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South East</v>
      </c>
      <c r="AQ77" s="42" t="str">
        <f t="shared" si="42"/>
        <v/>
      </c>
      <c r="AR77" s="39" t="str">
        <f>IF(AQ77="","",IF(I$8="A",(RANK(AQ77,AQ$11:AQ$333,1)+COUNTIF(AQ$11:AQ77,AQ77)-1),(RANK(AQ77,AQ$11:AQ$333)+COUNTIF(AQ$11:AQ77,AQ77)-1)))</f>
        <v/>
      </c>
      <c r="AS77" s="3" t="str">
        <f t="shared" si="54"/>
        <v/>
      </c>
      <c r="AT77" s="39" t="str">
        <f t="shared" si="49"/>
        <v/>
      </c>
      <c r="AU77" s="42" t="str">
        <f t="shared" si="50"/>
        <v/>
      </c>
      <c r="AX77">
        <f>HLOOKUP($AX$9&amp;$AX$10,Data!$A$1:$ZT$1975,(MATCH($C77,Data!$A$1:$A$1975,0)),FALSE)</f>
        <v>80</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100</v>
      </c>
      <c r="G78" s="15"/>
      <c r="H78" s="41">
        <f t="shared" si="44"/>
        <v>100</v>
      </c>
      <c r="I78" s="73">
        <f>IF(H78="","",IF($I$8="A",(RANK(H78,H$11:H$333,1)+COUNTIF(H$11:H78,H78)-1),(RANK(H78,H$11:H$333)+COUNTIF(H$11:H78,H78)-1)))</f>
        <v>15</v>
      </c>
      <c r="J78" s="40"/>
      <c r="K78" s="35">
        <f t="shared" si="51"/>
        <v>68</v>
      </c>
      <c r="L78" t="str">
        <f t="shared" si="45"/>
        <v>Staffordshire Moorlands</v>
      </c>
      <c r="M78" s="109">
        <f t="shared" si="46"/>
        <v>100</v>
      </c>
      <c r="N78" s="104">
        <f t="shared" si="31"/>
        <v>100</v>
      </c>
      <c r="O78" s="89">
        <f t="shared" si="32"/>
        <v>100</v>
      </c>
      <c r="P78" s="89" t="str">
        <f t="shared" si="33"/>
        <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 xml:space="preserve">Predominantly Rural </v>
      </c>
      <c r="Y78">
        <f t="shared" si="38"/>
        <v>100</v>
      </c>
      <c r="Z78" s="39">
        <f>IF(Y78="","",IF(I$8="A",(RANK(Y78,Y$11:Y$333,1)+COUNTIF(Y$11:Y78,Y78)-1),(RANK(Y78,Y$11:Y$333)+COUNTIF(Y$11:Y78,Y78)-1)))</f>
        <v>20</v>
      </c>
      <c r="AA78" s="177" t="str">
        <f>IF(L78="","",VLOOKUP($L78,classifications!C:I,7,FALSE))</f>
        <v>Predominantly Rural</v>
      </c>
      <c r="AB78" s="173">
        <f t="shared" si="39"/>
        <v>100</v>
      </c>
      <c r="AC78" s="173">
        <f>IF(AB78="","",IF($I$8="A",(RANK(AB78,AB$11:AB$333)+COUNTIF(AB$11:AB78,AB78)-1),(RANK(AB78,AB$11:AB$333,1)+COUNTIF(AB$11:AB78,AB78)-1)))</f>
        <v>54</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Staffordshire</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West Midlands</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100</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100</v>
      </c>
      <c r="G79" s="15"/>
      <c r="H79" s="41" t="str">
        <f t="shared" si="44"/>
        <v/>
      </c>
      <c r="I79" s="73" t="str">
        <f>IF(H79="","",IF($I$8="A",(RANK(H79,H$11:H$333,1)+COUNTIF(H$11:H79,H79)-1),(RANK(H79,H$11:H$333)+COUNTIF(H$11:H79,H79)-1)))</f>
        <v/>
      </c>
      <c r="J79" s="40"/>
      <c r="K79" s="35">
        <f t="shared" si="51"/>
        <v>69</v>
      </c>
      <c r="L79" t="str">
        <f t="shared" si="45"/>
        <v>Stevenage</v>
      </c>
      <c r="M79" s="109">
        <f t="shared" si="46"/>
        <v>100</v>
      </c>
      <c r="N79" s="104">
        <f t="shared" si="31"/>
        <v>100</v>
      </c>
      <c r="O79" s="89">
        <f t="shared" si="32"/>
        <v>100</v>
      </c>
      <c r="P79" s="89" t="str">
        <f t="shared" si="33"/>
        <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Predominantly Urban</v>
      </c>
      <c r="Y79" t="str">
        <f t="shared" si="38"/>
        <v/>
      </c>
      <c r="Z79" s="39" t="str">
        <f>IF(Y79="","",IF(I$8="A",(RANK(Y79,Y$11:Y$333,1)+COUNTIF(Y$11:Y79,Y79)-1),(RANK(Y79,Y$11:Y$333)+COUNTIF(Y$11:Y79,Y79)-1)))</f>
        <v/>
      </c>
      <c r="AA79" s="177" t="str">
        <f>IF(L79="","",VLOOKUP($L79,classifications!C:I,7,FALSE))</f>
        <v>Predominantly Urban</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Hertfordshire</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East of England</v>
      </c>
      <c r="AQ79" s="42">
        <f t="shared" si="42"/>
        <v>100</v>
      </c>
      <c r="AR79" s="39">
        <f>IF(AQ79="","",IF(I$8="A",(RANK(AQ79,AQ$11:AQ$333,1)+COUNTIF(AQ$11:AQ79,AQ79)-1),(RANK(AQ79,AQ$11:AQ$333)+COUNTIF(AQ$11:AQ79,AQ79)-1)))</f>
        <v>14</v>
      </c>
      <c r="AS79" s="3" t="str">
        <f t="shared" si="54"/>
        <v/>
      </c>
      <c r="AT79" s="39" t="str">
        <f t="shared" si="49"/>
        <v/>
      </c>
      <c r="AU79" s="42" t="str">
        <f t="shared" si="50"/>
        <v/>
      </c>
      <c r="AX79">
        <f>HLOOKUP($AX$9&amp;$AX$10,Data!$A$1:$ZT$1975,(MATCH($C79,Data!$A$1:$A$1975,0)),FALSE)</f>
        <v>100</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Surrey Heath</v>
      </c>
      <c r="M80" s="109">
        <f t="shared" si="46"/>
        <v>100</v>
      </c>
      <c r="N80" s="104">
        <f t="shared" si="31"/>
        <v>100</v>
      </c>
      <c r="O80" s="89">
        <f t="shared" si="32"/>
        <v>100</v>
      </c>
      <c r="P80" s="89" t="str">
        <f t="shared" si="33"/>
        <v/>
      </c>
      <c r="Q80" s="89" t="str">
        <f t="shared" si="34"/>
        <v/>
      </c>
      <c r="R80" s="85" t="str">
        <f t="shared" si="35"/>
        <v/>
      </c>
      <c r="S80" s="41" t="str">
        <f t="shared" si="36"/>
        <v/>
      </c>
      <c r="T80" s="166">
        <f>IF(L80="","",VLOOKUP(L80,classifications!C:K,9,FALSE))</f>
        <v>0</v>
      </c>
      <c r="U80" s="167" t="str">
        <f t="shared" si="37"/>
        <v/>
      </c>
      <c r="V80" s="173" t="str">
        <f>IF(U80="","",IF($I$8="A",(RANK(U80,U$11:U$333)+COUNTIF(U$11:U80,U80)-1),(RANK(U80,U$11:U$333,1)+COUNTIF(U$11:U80,U80)-1)))</f>
        <v/>
      </c>
      <c r="W80" s="174"/>
      <c r="X80" s="5" t="str">
        <f>IF(L80="","",VLOOKUP($L80,classifications!$C:$J,6,FALSE))</f>
        <v>Predominantly Urban</v>
      </c>
      <c r="Y80" t="str">
        <f t="shared" si="38"/>
        <v/>
      </c>
      <c r="Z80" s="39" t="str">
        <f>IF(Y80="","",IF(I$8="A",(RANK(Y80,Y$11:Y$333,1)+COUNTIF(Y$11:Y80,Y80)-1),(RANK(Y80,Y$11:Y$333)+COUNTIF(Y$11:Y80,Y80)-1)))</f>
        <v/>
      </c>
      <c r="AA80" s="177" t="str">
        <f>IF(L80="","",VLOOKUP($L80,classifications!C:I,7,FALSE))</f>
        <v>Predominantly Urban</v>
      </c>
      <c r="AB80" s="173" t="str">
        <f t="shared" si="39"/>
        <v/>
      </c>
      <c r="AC80" s="173" t="str">
        <f>IF(AB80="","",IF($I$8="A",(RANK(AB80,AB$11:AB$333)+COUNTIF(AB$11:AB80,AB80)-1),(RANK(AB80,AB$11:AB$333,1)+COUNTIF(AB$11:AB80,AB80)-1)))</f>
        <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Surrey</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South East</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100</v>
      </c>
      <c r="G81" s="15"/>
      <c r="H81" s="41">
        <f t="shared" si="44"/>
        <v>100</v>
      </c>
      <c r="I81" s="73">
        <f>IF(H81="","",IF($I$8="A",(RANK(H81,H$11:H$333,1)+COUNTIF(H$11:H81,H81)-1),(RANK(H81,H$11:H$333)+COUNTIF(H$11:H81,H81)-1)))</f>
        <v>16</v>
      </c>
      <c r="J81" s="40"/>
      <c r="K81" s="35">
        <f t="shared" si="51"/>
        <v>71</v>
      </c>
      <c r="L81" t="str">
        <f t="shared" si="45"/>
        <v>Tamworth</v>
      </c>
      <c r="M81" s="109">
        <f t="shared" si="46"/>
        <v>100</v>
      </c>
      <c r="N81" s="104">
        <f t="shared" si="31"/>
        <v>100</v>
      </c>
      <c r="O81" s="89">
        <f t="shared" si="32"/>
        <v>100</v>
      </c>
      <c r="P81" s="89" t="str">
        <f t="shared" si="33"/>
        <v/>
      </c>
      <c r="Q81" s="89" t="str">
        <f t="shared" si="34"/>
        <v/>
      </c>
      <c r="R81" s="85" t="str">
        <f t="shared" si="35"/>
        <v/>
      </c>
      <c r="S81" s="41" t="str">
        <f t="shared" si="36"/>
        <v/>
      </c>
      <c r="T81" s="166">
        <f>IF(L81="","",VLOOKUP(L81,classifications!C:K,9,FALSE))</f>
        <v>0</v>
      </c>
      <c r="U81" s="167" t="str">
        <f t="shared" si="37"/>
        <v/>
      </c>
      <c r="V81" s="173" t="str">
        <f>IF(U81="","",IF($I$8="A",(RANK(U81,U$11:U$333)+COUNTIF(U$11:U81,U81)-1),(RANK(U81,U$11:U$333,1)+COUNTIF(U$11:U81,U81)-1)))</f>
        <v/>
      </c>
      <c r="W81" s="174"/>
      <c r="X81" s="5" t="str">
        <f>IF(L81="","",VLOOKUP($L81,classifications!$C:$J,6,FALSE))</f>
        <v>Predominantly Urban</v>
      </c>
      <c r="Y81" t="str">
        <f t="shared" si="38"/>
        <v/>
      </c>
      <c r="Z81" s="39" t="str">
        <f>IF(Y81="","",IF(I$8="A",(RANK(Y81,Y$11:Y$333,1)+COUNTIF(Y$11:Y81,Y81)-1),(RANK(Y81,Y$11:Y$333)+COUNTIF(Y$11:Y81,Y81)-1)))</f>
        <v/>
      </c>
      <c r="AA81" s="177" t="str">
        <f>IF(L81="","",VLOOKUP($L81,classifications!C:I,7,FALSE))</f>
        <v>Predominantly Urban</v>
      </c>
      <c r="AB81" s="173" t="str">
        <f t="shared" si="39"/>
        <v/>
      </c>
      <c r="AC81" s="173" t="str">
        <f>IF(AB81="","",IF($I$8="A",(RANK(AB81,AB$11:AB$333)+COUNTIF(AB$11:AB81,AB81)-1),(RANK(AB81,AB$11:AB$333,1)+COUNTIF(AB$11:AB81,AB81)-1)))</f>
        <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Staffordshire</v>
      </c>
      <c r="AJ81" s="42" t="str">
        <f t="shared" si="41"/>
        <v/>
      </c>
      <c r="AK81" s="39" t="str">
        <f>IF(AJ81="","",IF(I$8="A",(RANK(AJ81,AJ$11:AJ$333,1)+COUNTIF(AJ$11:AJ81,AJ81)-1),(RANK(AJ81,AJ$11:AJ$333)+COUNTIF(AJ$11:AJ81,AJ81)-1)))</f>
        <v/>
      </c>
      <c r="AL81" s="3" t="str">
        <f t="shared" si="53"/>
        <v/>
      </c>
      <c r="AM81" t="str">
        <f t="shared" si="47"/>
        <v/>
      </c>
      <c r="AN81" t="str">
        <f t="shared" si="48"/>
        <v/>
      </c>
      <c r="AP81" s="5" t="str">
        <f>IF(L81="","",VLOOKUP($L81,classifications!$C:$E,3,FALSE))</f>
        <v>West Midlands</v>
      </c>
      <c r="AQ81" s="42" t="str">
        <f t="shared" si="42"/>
        <v/>
      </c>
      <c r="AR81" s="39" t="str">
        <f>IF(AQ81="","",IF(I$8="A",(RANK(AQ81,AQ$11:AQ$333,1)+COUNTIF(AQ$11:AQ81,AQ81)-1),(RANK(AQ81,AQ$11:AQ$333)+COUNTIF(AQ$11:AQ81,AQ81)-1)))</f>
        <v/>
      </c>
      <c r="AS81" s="3" t="str">
        <f t="shared" si="54"/>
        <v/>
      </c>
      <c r="AT81" s="39" t="str">
        <f t="shared" si="49"/>
        <v/>
      </c>
      <c r="AU81" s="42" t="str">
        <f t="shared" si="50"/>
        <v/>
      </c>
      <c r="AX81">
        <f>HLOOKUP($AX$9&amp;$AX$10,Data!$A$1:$ZT$1975,(MATCH($C81,Data!$A$1:$A$1975,0)),FALSE)</f>
        <v>100</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Test Valley</v>
      </c>
      <c r="M82" s="109">
        <f t="shared" si="46"/>
        <v>100</v>
      </c>
      <c r="N82" s="104">
        <f t="shared" si="31"/>
        <v>100</v>
      </c>
      <c r="O82" s="89">
        <f t="shared" si="32"/>
        <v>100</v>
      </c>
      <c r="P82" s="89" t="str">
        <f t="shared" si="33"/>
        <v/>
      </c>
      <c r="Q82" s="89" t="str">
        <f t="shared" si="34"/>
        <v/>
      </c>
      <c r="R82" s="85" t="str">
        <f t="shared" si="35"/>
        <v/>
      </c>
      <c r="S82" s="41" t="str">
        <f t="shared" si="36"/>
        <v/>
      </c>
      <c r="T82" s="166">
        <f>IF(L82="","",VLOOKUP(L82,classifications!C:K,9,FALSE))</f>
        <v>0</v>
      </c>
      <c r="U82" s="167" t="str">
        <f t="shared" si="37"/>
        <v/>
      </c>
      <c r="V82" s="173" t="str">
        <f>IF(U82="","",IF($I$8="A",(RANK(U82,U$11:U$333)+COUNTIF(U$11:U82,U82)-1),(RANK(U82,U$11:U$333,1)+COUNTIF(U$11:U82,U82)-1)))</f>
        <v/>
      </c>
      <c r="W82" s="174"/>
      <c r="X82" s="5" t="str">
        <f>IF(L82="","",VLOOKUP($L82,classifications!$C:$J,6,FALSE))</f>
        <v>Urban with Significant Rural</v>
      </c>
      <c r="Y82" t="str">
        <f t="shared" si="38"/>
        <v/>
      </c>
      <c r="Z82" s="39" t="str">
        <f>IF(Y82="","",IF(I$8="A",(RANK(Y82,Y$11:Y$333,1)+COUNTIF(Y$11:Y82,Y82)-1),(RANK(Y82,Y$11:Y$333)+COUNTIF(Y$11:Y82,Y82)-1)))</f>
        <v/>
      </c>
      <c r="AA82" s="177" t="str">
        <f>IF(L82="","",VLOOKUP($L82,classifications!C:I,7,FALSE))</f>
        <v>Urban with Significant Rural</v>
      </c>
      <c r="AB82" s="173" t="str">
        <f t="shared" si="39"/>
        <v/>
      </c>
      <c r="AC82" s="173" t="str">
        <f>IF(AB82="","",IF($I$8="A",(RANK(AB82,AB$11:AB$333)+COUNTIF(AB$11:AB82,AB82)-1),(RANK(AB82,AB$11:AB$333,1)+COUNTIF(AB$11:AB82,AB82)-1)))</f>
        <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Hampshire</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South East</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93.75</v>
      </c>
      <c r="G83" s="15"/>
      <c r="H83" s="41" t="str">
        <f t="shared" si="44"/>
        <v/>
      </c>
      <c r="I83" s="73" t="str">
        <f>IF(H83="","",IF($I$8="A",(RANK(H83,H$11:H$333,1)+COUNTIF(H$11:H83,H83)-1),(RANK(H83,H$11:H$333)+COUNTIF(H$11:H83,H83)-1)))</f>
        <v/>
      </c>
      <c r="J83" s="40"/>
      <c r="K83" s="35">
        <f t="shared" si="51"/>
        <v>73</v>
      </c>
      <c r="L83" t="str">
        <f t="shared" si="45"/>
        <v>Three Rivers</v>
      </c>
      <c r="M83" s="109">
        <f t="shared" si="46"/>
        <v>100</v>
      </c>
      <c r="N83" s="104">
        <f t="shared" si="31"/>
        <v>100</v>
      </c>
      <c r="O83" s="89">
        <f t="shared" si="32"/>
        <v>100</v>
      </c>
      <c r="P83" s="89" t="str">
        <f t="shared" si="33"/>
        <v/>
      </c>
      <c r="Q83" s="89" t="str">
        <f t="shared" si="34"/>
        <v/>
      </c>
      <c r="R83" s="85" t="str">
        <f t="shared" si="35"/>
        <v/>
      </c>
      <c r="S83" s="41" t="str">
        <f t="shared" si="36"/>
        <v/>
      </c>
      <c r="T83" s="166">
        <f>IF(L83="","",VLOOKUP(L83,classifications!C:K,9,FALSE))</f>
        <v>0</v>
      </c>
      <c r="U83" s="167" t="str">
        <f t="shared" si="37"/>
        <v/>
      </c>
      <c r="V83" s="173" t="str">
        <f>IF(U83="","",IF($I$8="A",(RANK(U83,U$11:U$333)+COUNTIF(U$11:U83,U83)-1),(RANK(U83,U$11:U$333,1)+COUNTIF(U$11:U83,U83)-1)))</f>
        <v/>
      </c>
      <c r="W83" s="174"/>
      <c r="X83" s="5" t="str">
        <f>IF(L83="","",VLOOKUP($L83,classifications!$C:$J,6,FALSE))</f>
        <v>Predominantly Urban</v>
      </c>
      <c r="Y83" t="str">
        <f t="shared" si="38"/>
        <v/>
      </c>
      <c r="Z83" s="39" t="str">
        <f>IF(Y83="","",IF(I$8="A",(RANK(Y83,Y$11:Y$333,1)+COUNTIF(Y$11:Y83,Y83)-1),(RANK(Y83,Y$11:Y$333)+COUNTIF(Y$11:Y83,Y83)-1)))</f>
        <v/>
      </c>
      <c r="AA83" s="177" t="str">
        <f>IF(L83="","",VLOOKUP($L83,classifications!C:I,7,FALSE))</f>
        <v>Predominantly Urban</v>
      </c>
      <c r="AB83" s="173" t="str">
        <f t="shared" si="39"/>
        <v/>
      </c>
      <c r="AC83" s="173" t="str">
        <f>IF(AB83="","",IF($I$8="A",(RANK(AB83,AB$11:AB$333)+COUNTIF(AB$11:AB83,AB83)-1),(RANK(AB83,AB$11:AB$333,1)+COUNTIF(AB$11:AB83,AB83)-1)))</f>
        <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Hertfordshire</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East of England</v>
      </c>
      <c r="AQ83" s="42">
        <f t="shared" si="42"/>
        <v>100</v>
      </c>
      <c r="AR83" s="39">
        <f>IF(AQ83="","",IF(I$8="A",(RANK(AQ83,AQ$11:AQ$333,1)+COUNTIF(AQ$11:AQ83,AQ83)-1),(RANK(AQ83,AQ$11:AQ$333)+COUNTIF(AQ$11:AQ83,AQ83)-1)))</f>
        <v>15</v>
      </c>
      <c r="AS83" s="3" t="str">
        <f t="shared" si="54"/>
        <v/>
      </c>
      <c r="AT83" s="39" t="str">
        <f t="shared" si="49"/>
        <v/>
      </c>
      <c r="AU83" s="42" t="str">
        <f t="shared" si="50"/>
        <v/>
      </c>
      <c r="AX83">
        <f>HLOOKUP($AX$9&amp;$AX$10,Data!$A$1:$ZT$1975,(MATCH($C83,Data!$A$1:$A$1975,0)),FALSE)</f>
        <v>93.75</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85.714285714285708</v>
      </c>
      <c r="G84" s="15"/>
      <c r="H84" s="41" t="str">
        <f t="shared" si="44"/>
        <v/>
      </c>
      <c r="I84" s="73" t="str">
        <f>IF(H84="","",IF($I$8="A",(RANK(H84,H$11:H$333,1)+COUNTIF(H$11:H84,H84)-1),(RANK(H84,H$11:H$333)+COUNTIF(H$11:H84,H84)-1)))</f>
        <v/>
      </c>
      <c r="J84" s="40"/>
      <c r="K84" s="35">
        <f t="shared" si="51"/>
        <v>74</v>
      </c>
      <c r="L84" t="str">
        <f t="shared" si="45"/>
        <v>Torridge</v>
      </c>
      <c r="M84" s="109">
        <f t="shared" si="46"/>
        <v>100</v>
      </c>
      <c r="N84" s="104">
        <f t="shared" si="31"/>
        <v>100</v>
      </c>
      <c r="O84" s="89">
        <f t="shared" si="32"/>
        <v>100</v>
      </c>
      <c r="P84" s="89" t="str">
        <f t="shared" si="33"/>
        <v/>
      </c>
      <c r="Q84" s="89" t="str">
        <f t="shared" si="34"/>
        <v/>
      </c>
      <c r="R84" s="85" t="str">
        <f t="shared" si="35"/>
        <v/>
      </c>
      <c r="S84" s="41" t="str">
        <f t="shared" si="36"/>
        <v/>
      </c>
      <c r="T84" s="166" t="str">
        <f>IF(L84="","",VLOOKUP(L84,classifications!C:K,9,FALSE))</f>
        <v>Sparse</v>
      </c>
      <c r="U84" s="167">
        <f t="shared" si="37"/>
        <v>100</v>
      </c>
      <c r="V84" s="173">
        <f>IF(U84="","",IF($I$8="A",(RANK(U84,U$11:U$333)+COUNTIF(U$11:U84,U84)-1),(RANK(U84,U$11:U$333,1)+COUNTIF(U$11:U84,U84)-1)))</f>
        <v>44</v>
      </c>
      <c r="W84" s="174"/>
      <c r="X84" s="5" t="str">
        <f>IF(L84="","",VLOOKUP($L84,classifications!$C:$J,6,FALSE))</f>
        <v xml:space="preserve">Predominantly Rural </v>
      </c>
      <c r="Y84">
        <f t="shared" si="38"/>
        <v>100</v>
      </c>
      <c r="Z84" s="39">
        <f>IF(Y84="","",IF(I$8="A",(RANK(Y84,Y$11:Y$333,1)+COUNTIF(Y$11:Y84,Y84)-1),(RANK(Y84,Y$11:Y$333)+COUNTIF(Y$11:Y84,Y84)-1)))</f>
        <v>21</v>
      </c>
      <c r="AA84" s="177" t="str">
        <f>IF(L84="","",VLOOKUP($L84,classifications!C:I,7,FALSE))</f>
        <v>Predominantly Rural</v>
      </c>
      <c r="AB84" s="173">
        <f t="shared" si="39"/>
        <v>100</v>
      </c>
      <c r="AC84" s="173">
        <f>IF(AB84="","",IF($I$8="A",(RANK(AB84,AB$11:AB$333)+COUNTIF(AB$11:AB84,AB84)-1),(RANK(AB84,AB$11:AB$333,1)+COUNTIF(AB$11:AB84,AB84)-1)))</f>
        <v>55</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Devon</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South West</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85.714285714285708</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83.333333333333343</v>
      </c>
      <c r="G85" s="15"/>
      <c r="H85" s="41">
        <f t="shared" si="44"/>
        <v>83.333333333333343</v>
      </c>
      <c r="I85" s="73">
        <f>IF(H85="","",IF($I$8="A",(RANK(H85,H$11:H$333,1)+COUNTIF(H$11:H85,H85)-1),(RANK(H85,H$11:H$333)+COUNTIF(H$11:H85,H85)-1)))</f>
        <v>115</v>
      </c>
      <c r="J85" s="40"/>
      <c r="K85" s="35">
        <f t="shared" si="51"/>
        <v>75</v>
      </c>
      <c r="L85" t="str">
        <f t="shared" si="45"/>
        <v>Tunbridge Wells</v>
      </c>
      <c r="M85" s="109">
        <f t="shared" si="46"/>
        <v>100</v>
      </c>
      <c r="N85" s="104">
        <f t="shared" si="31"/>
        <v>100</v>
      </c>
      <c r="O85" s="89">
        <f t="shared" si="32"/>
        <v>100</v>
      </c>
      <c r="P85" s="89" t="str">
        <f t="shared" si="33"/>
        <v/>
      </c>
      <c r="Q85" s="89" t="str">
        <f t="shared" si="34"/>
        <v/>
      </c>
      <c r="R85" s="85" t="str">
        <f t="shared" si="35"/>
        <v/>
      </c>
      <c r="S85" s="41" t="str">
        <f t="shared" si="36"/>
        <v/>
      </c>
      <c r="T85" s="166">
        <f>IF(L85="","",VLOOKUP(L85,classifications!C:K,9,FALSE))</f>
        <v>0</v>
      </c>
      <c r="U85" s="167" t="str">
        <f t="shared" si="37"/>
        <v/>
      </c>
      <c r="V85" s="173" t="str">
        <f>IF(U85="","",IF($I$8="A",(RANK(U85,U$11:U$333)+COUNTIF(U$11:U85,U85)-1),(RANK(U85,U$11:U$333,1)+COUNTIF(U$11:U85,U85)-1)))</f>
        <v/>
      </c>
      <c r="W85" s="174"/>
      <c r="X85" s="5" t="str">
        <f>IF(L85="","",VLOOKUP($L85,classifications!$C:$J,6,FALSE))</f>
        <v>Urban with Significant Rural</v>
      </c>
      <c r="Y85" t="str">
        <f t="shared" si="38"/>
        <v/>
      </c>
      <c r="Z85" s="39" t="str">
        <f>IF(Y85="","",IF(I$8="A",(RANK(Y85,Y$11:Y$333,1)+COUNTIF(Y$11:Y85,Y85)-1),(RANK(Y85,Y$11:Y$333)+COUNTIF(Y$11:Y85,Y85)-1)))</f>
        <v/>
      </c>
      <c r="AA85" s="177" t="str">
        <f>IF(L85="","",VLOOKUP($L85,classifications!C:I,7,FALSE))</f>
        <v>Urban with Significant Rural</v>
      </c>
      <c r="AB85" s="173" t="str">
        <f t="shared" si="39"/>
        <v/>
      </c>
      <c r="AC85" s="173" t="str">
        <f>IF(AB85="","",IF($I$8="A",(RANK(AB85,AB$11:AB$333)+COUNTIF(AB$11:AB85,AB85)-1),(RANK(AB85,AB$11:AB$333,1)+COUNTIF(AB$11:AB85,AB85)-1)))</f>
        <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Kent</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South East</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83.333333333333343</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87.5</v>
      </c>
      <c r="G86" s="15"/>
      <c r="H86" s="41" t="str">
        <f t="shared" si="44"/>
        <v/>
      </c>
      <c r="I86" s="73" t="str">
        <f>IF(H86="","",IF($I$8="A",(RANK(H86,H$11:H$333,1)+COUNTIF(H$11:H86,H86)-1),(RANK(H86,H$11:H$333)+COUNTIF(H$11:H86,H86)-1)))</f>
        <v/>
      </c>
      <c r="J86" s="40"/>
      <c r="K86" s="35">
        <f t="shared" si="51"/>
        <v>76</v>
      </c>
      <c r="L86" t="str">
        <f t="shared" si="45"/>
        <v>Uttlesford</v>
      </c>
      <c r="M86" s="109">
        <f t="shared" si="46"/>
        <v>100</v>
      </c>
      <c r="N86" s="104">
        <f t="shared" si="31"/>
        <v>100</v>
      </c>
      <c r="O86" s="89">
        <f t="shared" si="32"/>
        <v>100</v>
      </c>
      <c r="P86" s="89" t="str">
        <f t="shared" si="33"/>
        <v/>
      </c>
      <c r="Q86" s="89" t="str">
        <f t="shared" si="34"/>
        <v/>
      </c>
      <c r="R86" s="85" t="str">
        <f t="shared" si="35"/>
        <v/>
      </c>
      <c r="S86" s="41" t="str">
        <f t="shared" si="36"/>
        <v/>
      </c>
      <c r="T86" s="166" t="str">
        <f>IF(L86="","",VLOOKUP(L86,classifications!C:K,9,FALSE))</f>
        <v>Sparse</v>
      </c>
      <c r="U86" s="167">
        <f t="shared" si="37"/>
        <v>100</v>
      </c>
      <c r="V86" s="173">
        <f>IF(U86="","",IF($I$8="A",(RANK(U86,U$11:U$333)+COUNTIF(U$11:U86,U86)-1),(RANK(U86,U$11:U$333,1)+COUNTIF(U$11:U86,U86)-1)))</f>
        <v>45</v>
      </c>
      <c r="W86" s="174"/>
      <c r="X86" s="5" t="str">
        <f>IF(L86="","",VLOOKUP($L86,classifications!$C:$J,6,FALSE))</f>
        <v xml:space="preserve">Predominantly Rural </v>
      </c>
      <c r="Y86">
        <f t="shared" si="38"/>
        <v>100</v>
      </c>
      <c r="Z86" s="39">
        <f>IF(Y86="","",IF(I$8="A",(RANK(Y86,Y$11:Y$333,1)+COUNTIF(Y$11:Y86,Y86)-1),(RANK(Y86,Y$11:Y$333)+COUNTIF(Y$11:Y86,Y86)-1)))</f>
        <v>22</v>
      </c>
      <c r="AA86" s="177" t="str">
        <f>IF(L86="","",VLOOKUP($L86,classifications!C:I,7,FALSE))</f>
        <v>Predominantly Rural</v>
      </c>
      <c r="AB86" s="173">
        <f t="shared" si="39"/>
        <v>100</v>
      </c>
      <c r="AC86" s="173">
        <f>IF(AB86="","",IF($I$8="A",(RANK(AB86,AB$11:AB$333)+COUNTIF(AB$11:AB86,AB86)-1),(RANK(AB86,AB$11:AB$333,1)+COUNTIF(AB$11:AB86,AB86)-1)))</f>
        <v>56</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Essex</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East of England</v>
      </c>
      <c r="AQ86" s="42">
        <f t="shared" si="42"/>
        <v>100</v>
      </c>
      <c r="AR86" s="39">
        <f>IF(AQ86="","",IF(I$8="A",(RANK(AQ86,AQ$11:AQ$333,1)+COUNTIF(AQ$11:AQ86,AQ86)-1),(RANK(AQ86,AQ$11:AQ$333)+COUNTIF(AQ$11:AQ86,AQ86)-1)))</f>
        <v>16</v>
      </c>
      <c r="AS86" s="3" t="str">
        <f t="shared" si="54"/>
        <v/>
      </c>
      <c r="AT86" s="39" t="str">
        <f t="shared" si="49"/>
        <v/>
      </c>
      <c r="AU86" s="42" t="str">
        <f t="shared" si="50"/>
        <v/>
      </c>
      <c r="AX86">
        <f>HLOOKUP($AX$9&amp;$AX$10,Data!$A$1:$ZT$1975,(MATCH($C86,Data!$A$1:$A$1975,0)),FALSE)</f>
        <v>87.5</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96.15384615384616</v>
      </c>
      <c r="G87" s="15"/>
      <c r="H87" s="41" t="str">
        <f t="shared" si="44"/>
        <v/>
      </c>
      <c r="I87" s="73" t="str">
        <f>IF(H87="","",IF($I$8="A",(RANK(H87,H$11:H$333,1)+COUNTIF(H$11:H87,H87)-1),(RANK(H87,H$11:H$333)+COUNTIF(H$11:H87,H87)-1)))</f>
        <v/>
      </c>
      <c r="J87" s="40"/>
      <c r="K87" s="35">
        <f t="shared" si="51"/>
        <v>77</v>
      </c>
      <c r="L87" t="str">
        <f t="shared" si="45"/>
        <v>Watford</v>
      </c>
      <c r="M87" s="109">
        <f t="shared" si="46"/>
        <v>100</v>
      </c>
      <c r="N87" s="104">
        <f t="shared" si="31"/>
        <v>100</v>
      </c>
      <c r="O87" s="89">
        <f t="shared" si="32"/>
        <v>100</v>
      </c>
      <c r="P87" s="89" t="str">
        <f t="shared" si="33"/>
        <v/>
      </c>
      <c r="Q87" s="89" t="str">
        <f t="shared" si="34"/>
        <v/>
      </c>
      <c r="R87" s="85" t="str">
        <f t="shared" si="35"/>
        <v/>
      </c>
      <c r="S87" s="41" t="str">
        <f t="shared" si="36"/>
        <v/>
      </c>
      <c r="T87" s="166">
        <f>IF(L87="","",VLOOKUP(L87,classifications!C:K,9,FALSE))</f>
        <v>0</v>
      </c>
      <c r="U87" s="167" t="str">
        <f t="shared" si="37"/>
        <v/>
      </c>
      <c r="V87" s="173" t="str">
        <f>IF(U87="","",IF($I$8="A",(RANK(U87,U$11:U$333)+COUNTIF(U$11:U87,U87)-1),(RANK(U87,U$11:U$333,1)+COUNTIF(U$11:U87,U87)-1)))</f>
        <v/>
      </c>
      <c r="W87" s="174"/>
      <c r="X87" s="5" t="str">
        <f>IF(L87="","",VLOOKUP($L87,classifications!$C:$J,6,FALSE))</f>
        <v>Predominantly Urban</v>
      </c>
      <c r="Y87" t="str">
        <f t="shared" si="38"/>
        <v/>
      </c>
      <c r="Z87" s="39" t="str">
        <f>IF(Y87="","",IF(I$8="A",(RANK(Y87,Y$11:Y$333,1)+COUNTIF(Y$11:Y87,Y87)-1),(RANK(Y87,Y$11:Y$333)+COUNTIF(Y$11:Y87,Y87)-1)))</f>
        <v/>
      </c>
      <c r="AA87" s="177" t="str">
        <f>IF(L87="","",VLOOKUP($L87,classifications!C:I,7,FALSE))</f>
        <v>Predominantly Urban</v>
      </c>
      <c r="AB87" s="173" t="str">
        <f t="shared" si="39"/>
        <v/>
      </c>
      <c r="AC87" s="173" t="str">
        <f>IF(AB87="","",IF($I$8="A",(RANK(AB87,AB$11:AB$333)+COUNTIF(AB$11:AB87,AB87)-1),(RANK(AB87,AB$11:AB$333,1)+COUNTIF(AB$11:AB87,AB87)-1)))</f>
        <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Hertfordshire</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East of England</v>
      </c>
      <c r="AQ87" s="42">
        <f t="shared" si="42"/>
        <v>100</v>
      </c>
      <c r="AR87" s="39">
        <f>IF(AQ87="","",IF(I$8="A",(RANK(AQ87,AQ$11:AQ$333,1)+COUNTIF(AQ$11:AQ87,AQ87)-1),(RANK(AQ87,AQ$11:AQ$333)+COUNTIF(AQ$11:AQ87,AQ87)-1)))</f>
        <v>17</v>
      </c>
      <c r="AS87" s="3" t="str">
        <f t="shared" si="54"/>
        <v/>
      </c>
      <c r="AT87" s="39" t="str">
        <f t="shared" si="49"/>
        <v/>
      </c>
      <c r="AU87" s="42" t="str">
        <f t="shared" si="50"/>
        <v/>
      </c>
      <c r="AX87">
        <f>HLOOKUP($AX$9&amp;$AX$10,Data!$A$1:$ZT$1975,(MATCH($C87,Data!$A$1:$A$1975,0)),FALSE)</f>
        <v>96.15384615384616</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f t="shared" si="51"/>
        <v>78</v>
      </c>
      <c r="L88" t="str">
        <f t="shared" si="45"/>
        <v>Waverley</v>
      </c>
      <c r="M88" s="109">
        <f t="shared" si="46"/>
        <v>100</v>
      </c>
      <c r="N88" s="104">
        <f t="shared" si="31"/>
        <v>100</v>
      </c>
      <c r="O88" s="89">
        <f t="shared" si="32"/>
        <v>100</v>
      </c>
      <c r="P88" s="89" t="str">
        <f t="shared" si="33"/>
        <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 xml:space="preserve">Predominantly Rural </v>
      </c>
      <c r="Y88">
        <f t="shared" si="38"/>
        <v>100</v>
      </c>
      <c r="Z88" s="39">
        <f>IF(Y88="","",IF(I$8="A",(RANK(Y88,Y$11:Y$333,1)+COUNTIF(Y$11:Y88,Y88)-1),(RANK(Y88,Y$11:Y$333)+COUNTIF(Y$11:Y88,Y88)-1)))</f>
        <v>23</v>
      </c>
      <c r="AA88" s="177" t="str">
        <f>IF(L88="","",VLOOKUP($L88,classifications!C:I,7,FALSE))</f>
        <v>Predominantly Rural</v>
      </c>
      <c r="AB88" s="173">
        <f t="shared" si="39"/>
        <v>100</v>
      </c>
      <c r="AC88" s="173">
        <f>IF(AB88="","",IF($I$8="A",(RANK(AB88,AB$11:AB$333)+COUNTIF(AB$11:AB88,AB88)-1),(RANK(AB88,AB$11:AB$333,1)+COUNTIF(AB$11:AB88,AB88)-1)))</f>
        <v>57</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Surrey</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South East</v>
      </c>
      <c r="AQ88" s="42" t="str">
        <f t="shared" si="42"/>
        <v/>
      </c>
      <c r="AR88" s="39" t="str">
        <f>IF(AQ88="","",IF(I$8="A",(RANK(AQ88,AQ$11:AQ$333,1)+COUNTIF(AQ$11:AQ88,AQ88)-1),(RANK(AQ88,AQ$11:AQ$333)+COUNTIF(AQ$11:AQ88,AQ88)-1)))</f>
        <v/>
      </c>
      <c r="AS88" s="3" t="str">
        <f t="shared" si="54"/>
        <v/>
      </c>
      <c r="AT88" s="39" t="str">
        <f t="shared" si="49"/>
        <v/>
      </c>
      <c r="AU88" s="42" t="str">
        <f t="shared" si="50"/>
        <v/>
      </c>
      <c r="AX88">
        <f>HLOOKUP($AX$9&amp;$AX$10,Data!$A$1:$ZT$1975,(MATCH($C88,Data!$A$1:$A$1975,0)),FALSE)</f>
        <v>100</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100</v>
      </c>
      <c r="G89" s="15"/>
      <c r="H89" s="41">
        <f t="shared" si="44"/>
        <v>100</v>
      </c>
      <c r="I89" s="73">
        <f>IF(H89="","",IF($I$8="A",(RANK(H89,H$11:H$333,1)+COUNTIF(H$11:H89,H89)-1),(RANK(H89,H$11:H$333)+COUNTIF(H$11:H89,H89)-1)))</f>
        <v>17</v>
      </c>
      <c r="J89" s="40"/>
      <c r="K89" s="35">
        <f t="shared" si="51"/>
        <v>79</v>
      </c>
      <c r="L89" t="str">
        <f t="shared" si="45"/>
        <v>West Devon</v>
      </c>
      <c r="M89" s="109">
        <f t="shared" si="46"/>
        <v>100</v>
      </c>
      <c r="N89" s="104">
        <f t="shared" si="31"/>
        <v>100</v>
      </c>
      <c r="O89" s="89">
        <f t="shared" si="32"/>
        <v>100</v>
      </c>
      <c r="P89" s="89" t="str">
        <f t="shared" si="33"/>
        <v/>
      </c>
      <c r="Q89" s="89" t="str">
        <f t="shared" si="34"/>
        <v/>
      </c>
      <c r="R89" s="85" t="str">
        <f t="shared" si="35"/>
        <v/>
      </c>
      <c r="S89" s="41" t="str">
        <f t="shared" si="36"/>
        <v/>
      </c>
      <c r="T89" s="166" t="str">
        <f>IF(L89="","",VLOOKUP(L89,classifications!C:K,9,FALSE))</f>
        <v>Sparse</v>
      </c>
      <c r="U89" s="167">
        <f t="shared" si="37"/>
        <v>100</v>
      </c>
      <c r="V89" s="173">
        <f>IF(U89="","",IF($I$8="A",(RANK(U89,U$11:U$333)+COUNTIF(U$11:U89,U89)-1),(RANK(U89,U$11:U$333,1)+COUNTIF(U$11:U89,U89)-1)))</f>
        <v>46</v>
      </c>
      <c r="W89" s="174"/>
      <c r="X89" s="5" t="str">
        <f>IF(L89="","",VLOOKUP($L89,classifications!$C:$J,6,FALSE))</f>
        <v xml:space="preserve">Predominantly Rural </v>
      </c>
      <c r="Y89">
        <f t="shared" si="38"/>
        <v>100</v>
      </c>
      <c r="Z89" s="39">
        <f>IF(Y89="","",IF(I$8="A",(RANK(Y89,Y$11:Y$333,1)+COUNTIF(Y$11:Y89,Y89)-1),(RANK(Y89,Y$11:Y$333)+COUNTIF(Y$11:Y89,Y89)-1)))</f>
        <v>24</v>
      </c>
      <c r="AA89" s="177" t="str">
        <f>IF(L89="","",VLOOKUP($L89,classifications!C:I,7,FALSE))</f>
        <v>Predominantly Rural</v>
      </c>
      <c r="AB89" s="173">
        <f t="shared" si="39"/>
        <v>100</v>
      </c>
      <c r="AC89" s="173">
        <f>IF(AB89="","",IF($I$8="A",(RANK(AB89,AB$11:AB$333)+COUNTIF(AB$11:AB89,AB89)-1),(RANK(AB89,AB$11:AB$333,1)+COUNTIF(AB$11:AB89,AB89)-1)))</f>
        <v>58</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Devon</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South West</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100</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60</v>
      </c>
      <c r="G90" s="15"/>
      <c r="H90" s="41">
        <f t="shared" si="44"/>
        <v>60</v>
      </c>
      <c r="I90" s="73">
        <f>IF(H90="","",IF($I$8="A",(RANK(H90,H$11:H$333,1)+COUNTIF(H$11:H90,H90)-1),(RANK(H90,H$11:H$333)+COUNTIF(H$11:H90,H90)-1)))</f>
        <v>149</v>
      </c>
      <c r="J90" s="40"/>
      <c r="K90" s="35">
        <f t="shared" si="51"/>
        <v>80</v>
      </c>
      <c r="L90" t="str">
        <f t="shared" si="45"/>
        <v>West Lancashire</v>
      </c>
      <c r="M90" s="109">
        <f t="shared" si="46"/>
        <v>100</v>
      </c>
      <c r="N90" s="104">
        <f t="shared" si="31"/>
        <v>100</v>
      </c>
      <c r="O90" s="89">
        <f t="shared" si="32"/>
        <v>100</v>
      </c>
      <c r="P90" s="89" t="str">
        <f t="shared" si="33"/>
        <v/>
      </c>
      <c r="Q90" s="89" t="str">
        <f t="shared" si="34"/>
        <v/>
      </c>
      <c r="R90" s="85" t="str">
        <f t="shared" si="35"/>
        <v/>
      </c>
      <c r="S90" s="41" t="str">
        <f t="shared" si="36"/>
        <v/>
      </c>
      <c r="T90" s="166">
        <f>IF(L90="","",VLOOKUP(L90,classifications!C:K,9,FALSE))</f>
        <v>0</v>
      </c>
      <c r="U90" s="167" t="str">
        <f t="shared" si="37"/>
        <v/>
      </c>
      <c r="V90" s="173" t="str">
        <f>IF(U90="","",IF($I$8="A",(RANK(U90,U$11:U$333)+COUNTIF(U$11:U90,U90)-1),(RANK(U90,U$11:U$333,1)+COUNTIF(U$11:U90,U90)-1)))</f>
        <v/>
      </c>
      <c r="W90" s="174"/>
      <c r="X90" s="5" t="str">
        <f>IF(L90="","",VLOOKUP($L90,classifications!$C:$J,6,FALSE))</f>
        <v>Urban with Significant Rural</v>
      </c>
      <c r="Y90" t="str">
        <f t="shared" si="38"/>
        <v/>
      </c>
      <c r="Z90" s="39" t="str">
        <f>IF(Y90="","",IF(I$8="A",(RANK(Y90,Y$11:Y$333,1)+COUNTIF(Y$11:Y90,Y90)-1),(RANK(Y90,Y$11:Y$333)+COUNTIF(Y$11:Y90,Y90)-1)))</f>
        <v/>
      </c>
      <c r="AA90" s="177" t="str">
        <f>IF(L90="","",VLOOKUP($L90,classifications!C:I,7,FALSE))</f>
        <v>Urban with Significant Rural</v>
      </c>
      <c r="AB90" s="173" t="str">
        <f t="shared" si="39"/>
        <v/>
      </c>
      <c r="AC90" s="173" t="str">
        <f>IF(AB90="","",IF($I$8="A",(RANK(AB90,AB$11:AB$333)+COUNTIF(AB$11:AB90,AB90)-1),(RANK(AB90,AB$11:AB$333,1)+COUNTIF(AB$11:AB90,AB90)-1)))</f>
        <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Lancashire</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North West</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60</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100</v>
      </c>
      <c r="G91" s="15"/>
      <c r="H91" s="41">
        <f t="shared" si="44"/>
        <v>100</v>
      </c>
      <c r="I91" s="73">
        <f>IF(H91="","",IF($I$8="A",(RANK(H91,H$11:H$333,1)+COUNTIF(H$11:H91,H91)-1),(RANK(H91,H$11:H$333)+COUNTIF(H$11:H91,H91)-1)))</f>
        <v>18</v>
      </c>
      <c r="J91" s="40"/>
      <c r="K91" s="35">
        <f t="shared" si="51"/>
        <v>81</v>
      </c>
      <c r="L91" t="str">
        <f t="shared" si="45"/>
        <v>Worcester</v>
      </c>
      <c r="M91" s="109">
        <f t="shared" si="46"/>
        <v>100</v>
      </c>
      <c r="N91" s="104">
        <f t="shared" si="31"/>
        <v>100</v>
      </c>
      <c r="O91" s="89">
        <f t="shared" si="32"/>
        <v>100</v>
      </c>
      <c r="P91" s="89" t="str">
        <f t="shared" si="33"/>
        <v/>
      </c>
      <c r="Q91" s="89" t="str">
        <f t="shared" si="34"/>
        <v/>
      </c>
      <c r="R91" s="85" t="str">
        <f t="shared" si="35"/>
        <v/>
      </c>
      <c r="S91" s="41" t="str">
        <f t="shared" si="36"/>
        <v/>
      </c>
      <c r="T91" s="166">
        <f>IF(L91="","",VLOOKUP(L91,classifications!C:K,9,FALSE))</f>
        <v>0</v>
      </c>
      <c r="U91" s="167" t="str">
        <f t="shared" si="37"/>
        <v/>
      </c>
      <c r="V91" s="173" t="str">
        <f>IF(U91="","",IF($I$8="A",(RANK(U91,U$11:U$333)+COUNTIF(U$11:U91,U91)-1),(RANK(U91,U$11:U$333,1)+COUNTIF(U$11:U91,U91)-1)))</f>
        <v/>
      </c>
      <c r="W91" s="174"/>
      <c r="X91" s="5" t="str">
        <f>IF(L91="","",VLOOKUP($L91,classifications!$C:$J,6,FALSE))</f>
        <v>Predominantly Urban</v>
      </c>
      <c r="Y91" t="str">
        <f t="shared" si="38"/>
        <v/>
      </c>
      <c r="Z91" s="39" t="str">
        <f>IF(Y91="","",IF(I$8="A",(RANK(Y91,Y$11:Y$333,1)+COUNTIF(Y$11:Y91,Y91)-1),(RANK(Y91,Y$11:Y$333)+COUNTIF(Y$11:Y91,Y91)-1)))</f>
        <v/>
      </c>
      <c r="AA91" s="177" t="str">
        <f>IF(L91="","",VLOOKUP($L91,classifications!C:I,7,FALSE))</f>
        <v>Predominantly Urban</v>
      </c>
      <c r="AB91" s="173" t="str">
        <f t="shared" si="39"/>
        <v/>
      </c>
      <c r="AC91" s="173" t="str">
        <f>IF(AB91="","",IF($I$8="A",(RANK(AB91,AB$11:AB$333)+COUNTIF(AB$11:AB91,AB91)-1),(RANK(AB91,AB$11:AB$333,1)+COUNTIF(AB$11:AB91,AB91)-1)))</f>
        <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Worcestershire</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West Midlands</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100</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80</v>
      </c>
      <c r="G92" s="15"/>
      <c r="H92" s="41">
        <f t="shared" si="44"/>
        <v>80</v>
      </c>
      <c r="I92" s="73">
        <f>IF(H92="","",IF($I$8="A",(RANK(H92,H$11:H$333,1)+COUNTIF(H$11:H92,H92)-1),(RANK(H92,H$11:H$333)+COUNTIF(H$11:H92,H92)-1)))</f>
        <v>122</v>
      </c>
      <c r="J92" s="40"/>
      <c r="K92" s="35">
        <f t="shared" si="51"/>
        <v>82</v>
      </c>
      <c r="L92" t="str">
        <f t="shared" si="45"/>
        <v>Worthing</v>
      </c>
      <c r="M92" s="109">
        <f t="shared" si="46"/>
        <v>100</v>
      </c>
      <c r="N92" s="104">
        <f t="shared" si="31"/>
        <v>100</v>
      </c>
      <c r="O92" s="89">
        <f t="shared" si="32"/>
        <v>100</v>
      </c>
      <c r="P92" s="89" t="str">
        <f t="shared" si="33"/>
        <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Predominantly Urban</v>
      </c>
      <c r="Y92" t="str">
        <f t="shared" si="38"/>
        <v/>
      </c>
      <c r="Z92" s="39" t="str">
        <f>IF(Y92="","",IF(I$8="A",(RANK(Y92,Y$11:Y$333,1)+COUNTIF(Y$11:Y92,Y92)-1),(RANK(Y92,Y$11:Y$333)+COUNTIF(Y$11:Y92,Y92)-1)))</f>
        <v/>
      </c>
      <c r="AA92" s="177" t="str">
        <f>IF(L92="","",VLOOKUP($L92,classifications!C:I,7,FALSE))</f>
        <v>Predominantly Urban</v>
      </c>
      <c r="AB92" s="173" t="str">
        <f t="shared" si="39"/>
        <v/>
      </c>
      <c r="AC92" s="173" t="str">
        <f>IF(AB92="","",IF($I$8="A",(RANK(AB92,AB$11:AB$333)+COUNTIF(AB$11:AB92,AB92)-1),(RANK(AB92,AB$11:AB$333,1)+COUNTIF(AB$11:AB92,AB92)-1)))</f>
        <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West Sussex</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South East</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80</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71.428571428571431</v>
      </c>
      <c r="G93" s="15"/>
      <c r="H93" s="41">
        <f t="shared" si="44"/>
        <v>71.428571428571431</v>
      </c>
      <c r="I93" s="73">
        <f>IF(H93="","",IF($I$8="A",(RANK(H93,H$11:H$333,1)+COUNTIF(H$11:H93,H93)-1),(RANK(H93,H$11:H$333)+COUNTIF(H$11:H93,H93)-1)))</f>
        <v>134</v>
      </c>
      <c r="J93" s="40"/>
      <c r="K93" s="35">
        <f t="shared" si="51"/>
        <v>83</v>
      </c>
      <c r="L93" t="str">
        <f t="shared" si="45"/>
        <v>Wealden</v>
      </c>
      <c r="M93" s="109">
        <f t="shared" si="46"/>
        <v>95</v>
      </c>
      <c r="N93" s="104">
        <f t="shared" si="31"/>
        <v>95</v>
      </c>
      <c r="O93" s="89" t="str">
        <f t="shared" si="32"/>
        <v/>
      </c>
      <c r="P93" s="89" t="str">
        <f t="shared" si="33"/>
        <v/>
      </c>
      <c r="Q93" s="89">
        <f t="shared" si="34"/>
        <v>95</v>
      </c>
      <c r="R93" s="85" t="str">
        <f t="shared" si="35"/>
        <v/>
      </c>
      <c r="S93" s="41" t="str">
        <f t="shared" si="36"/>
        <v/>
      </c>
      <c r="T93" s="166" t="str">
        <f>IF(L93="","",VLOOKUP(L93,classifications!C:K,9,FALSE))</f>
        <v>Sparse</v>
      </c>
      <c r="U93" s="167">
        <f t="shared" si="37"/>
        <v>95</v>
      </c>
      <c r="V93" s="173">
        <f>IF(U93="","",IF($I$8="A",(RANK(U93,U$11:U$333)+COUNTIF(U$11:U93,U93)-1),(RANK(U93,U$11:U$333,1)+COUNTIF(U$11:U93,U93)-1)))</f>
        <v>27</v>
      </c>
      <c r="W93" s="174"/>
      <c r="X93" s="5" t="str">
        <f>IF(L93="","",VLOOKUP($L93,classifications!$C:$J,6,FALSE))</f>
        <v xml:space="preserve">Predominantly Rural </v>
      </c>
      <c r="Y93">
        <f t="shared" si="38"/>
        <v>95</v>
      </c>
      <c r="Z93" s="39">
        <f>IF(Y93="","",IF(I$8="A",(RANK(Y93,Y$11:Y$333,1)+COUNTIF(Y$11:Y93,Y93)-1),(RANK(Y93,Y$11:Y$333)+COUNTIF(Y$11:Y93,Y93)-1)))</f>
        <v>25</v>
      </c>
      <c r="AA93" s="177" t="str">
        <f>IF(L93="","",VLOOKUP($L93,classifications!C:I,7,FALSE))</f>
        <v>Predominantly Rural</v>
      </c>
      <c r="AB93" s="173">
        <f t="shared" si="39"/>
        <v>95</v>
      </c>
      <c r="AC93" s="173">
        <f>IF(AB93="","",IF($I$8="A",(RANK(AB93,AB$11:AB$333)+COUNTIF(AB$11:AB93,AB93)-1),(RANK(AB93,AB$11:AB$333,1)+COUNTIF(AB$11:AB93,AB93)-1)))</f>
        <v>34</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East Sussex</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South East</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71.428571428571431</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89.285714285714292</v>
      </c>
      <c r="G94" s="15"/>
      <c r="H94" s="41" t="str">
        <f t="shared" si="44"/>
        <v/>
      </c>
      <c r="I94" s="73" t="str">
        <f>IF(H94="","",IF($I$8="A",(RANK(H94,H$11:H$333,1)+COUNTIF(H$11:H94,H94)-1),(RANK(H94,H$11:H$333)+COUNTIF(H$11:H94,H94)-1)))</f>
        <v/>
      </c>
      <c r="J94" s="40"/>
      <c r="K94" s="35">
        <f t="shared" si="51"/>
        <v>84</v>
      </c>
      <c r="L94" t="str">
        <f t="shared" si="45"/>
        <v>King's Lynn &amp; West Norfolk</v>
      </c>
      <c r="M94" s="109">
        <f t="shared" si="46"/>
        <v>94.444444444444443</v>
      </c>
      <c r="N94" s="104">
        <f t="shared" si="31"/>
        <v>94.444444444444443</v>
      </c>
      <c r="O94" s="89" t="str">
        <f t="shared" si="32"/>
        <v/>
      </c>
      <c r="P94" s="89" t="str">
        <f t="shared" si="33"/>
        <v/>
      </c>
      <c r="Q94" s="89">
        <f t="shared" si="34"/>
        <v>94.444444444444443</v>
      </c>
      <c r="R94" s="85" t="str">
        <f t="shared" si="35"/>
        <v/>
      </c>
      <c r="S94" s="41" t="str">
        <f t="shared" si="36"/>
        <v/>
      </c>
      <c r="T94" s="166" t="str">
        <f>IF(L94="","",VLOOKUP(L94,classifications!C:K,9,FALSE))</f>
        <v>Sparse</v>
      </c>
      <c r="U94" s="167">
        <f t="shared" si="37"/>
        <v>94.444444444444443</v>
      </c>
      <c r="V94" s="173">
        <f>IF(U94="","",IF($I$8="A",(RANK(U94,U$11:U$333)+COUNTIF(U$11:U94,U94)-1),(RANK(U94,U$11:U$333,1)+COUNTIF(U$11:U94,U94)-1)))</f>
        <v>26</v>
      </c>
      <c r="W94" s="174"/>
      <c r="X94" s="5" t="str">
        <f>IF(L94="","",VLOOKUP($L94,classifications!$C:$J,6,FALSE))</f>
        <v xml:space="preserve">Predominantly Rural </v>
      </c>
      <c r="Y94">
        <f t="shared" si="38"/>
        <v>94.444444444444443</v>
      </c>
      <c r="Z94" s="39">
        <f>IF(Y94="","",IF(I$8="A",(RANK(Y94,Y$11:Y$333,1)+COUNTIF(Y$11:Y94,Y94)-1),(RANK(Y94,Y$11:Y$333)+COUNTIF(Y$11:Y94,Y94)-1)))</f>
        <v>26</v>
      </c>
      <c r="AA94" s="177" t="str">
        <f>IF(L94="","",VLOOKUP($L94,classifications!C:I,7,FALSE))</f>
        <v>Predominantly Rural</v>
      </c>
      <c r="AB94" s="173">
        <f t="shared" si="39"/>
        <v>94.444444444444443</v>
      </c>
      <c r="AC94" s="173">
        <f>IF(AB94="","",IF($I$8="A",(RANK(AB94,AB$11:AB$333)+COUNTIF(AB$11:AB94,AB94)-1),(RANK(AB94,AB$11:AB$333,1)+COUNTIF(AB$11:AB94,AB94)-1)))</f>
        <v>33</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Norfolk</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East of England</v>
      </c>
      <c r="AQ94" s="42">
        <f t="shared" si="42"/>
        <v>94.444444444444443</v>
      </c>
      <c r="AR94" s="39">
        <f>IF(AQ94="","",IF(I$8="A",(RANK(AQ94,AQ$11:AQ$333,1)+COUNTIF(AQ$11:AQ94,AQ94)-1),(RANK(AQ94,AQ$11:AQ$333)+COUNTIF(AQ$11:AQ94,AQ94)-1)))</f>
        <v>18</v>
      </c>
      <c r="AS94" s="3" t="str">
        <f t="shared" si="54"/>
        <v/>
      </c>
      <c r="AT94" s="39" t="str">
        <f t="shared" si="49"/>
        <v/>
      </c>
      <c r="AU94" s="42" t="str">
        <f t="shared" si="50"/>
        <v/>
      </c>
      <c r="AX94">
        <f>HLOOKUP($AX$9&amp;$AX$10,Data!$A$1:$ZT$1975,(MATCH($C94,Data!$A$1:$A$1975,0)),FALSE)</f>
        <v>89.285714285714292</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71.428571428571431</v>
      </c>
      <c r="G95" s="15"/>
      <c r="H95" s="41">
        <f t="shared" si="44"/>
        <v>71.428571428571431</v>
      </c>
      <c r="I95" s="73">
        <f>IF(H95="","",IF($I$8="A",(RANK(H95,H$11:H$333,1)+COUNTIF(H$11:H95,H95)-1),(RANK(H95,H$11:H$333)+COUNTIF(H$11:H95,H95)-1)))</f>
        <v>135</v>
      </c>
      <c r="J95" s="40"/>
      <c r="K95" s="35">
        <f t="shared" si="51"/>
        <v>85</v>
      </c>
      <c r="L95" t="str">
        <f t="shared" si="45"/>
        <v>Tendring</v>
      </c>
      <c r="M95" s="109">
        <f t="shared" si="46"/>
        <v>94.117647058823522</v>
      </c>
      <c r="N95" s="104">
        <f t="shared" si="31"/>
        <v>94.117647058823522</v>
      </c>
      <c r="O95" s="89" t="str">
        <f t="shared" si="32"/>
        <v/>
      </c>
      <c r="P95" s="89" t="str">
        <f t="shared" si="33"/>
        <v/>
      </c>
      <c r="Q95" s="89">
        <f t="shared" si="34"/>
        <v>94.117647058823522</v>
      </c>
      <c r="R95" s="85" t="str">
        <f t="shared" si="35"/>
        <v/>
      </c>
      <c r="S95" s="41" t="str">
        <f t="shared" si="36"/>
        <v/>
      </c>
      <c r="T95" s="166">
        <f>IF(L95="","",VLOOKUP(L95,classifications!C:K,9,FALSE))</f>
        <v>0</v>
      </c>
      <c r="U95" s="167" t="str">
        <f t="shared" si="37"/>
        <v/>
      </c>
      <c r="V95" s="173" t="str">
        <f>IF(U95="","",IF($I$8="A",(RANK(U95,U$11:U$333)+COUNTIF(U$11:U95,U95)-1),(RANK(U95,U$11:U$333,1)+COUNTIF(U$11:U95,U95)-1)))</f>
        <v/>
      </c>
      <c r="W95" s="174"/>
      <c r="X95" s="5" t="str">
        <f>IF(L95="","",VLOOKUP($L95,classifications!$C:$J,6,FALSE))</f>
        <v xml:space="preserve">Predominantly Rural </v>
      </c>
      <c r="Y95">
        <f t="shared" si="38"/>
        <v>94.117647058823522</v>
      </c>
      <c r="Z95" s="39">
        <f>IF(Y95="","",IF(I$8="A",(RANK(Y95,Y$11:Y$333,1)+COUNTIF(Y$11:Y95,Y95)-1),(RANK(Y95,Y$11:Y$333)+COUNTIF(Y$11:Y95,Y95)-1)))</f>
        <v>27</v>
      </c>
      <c r="AA95" s="177" t="str">
        <f>IF(L95="","",VLOOKUP($L95,classifications!C:I,7,FALSE))</f>
        <v>Predominantly Rural</v>
      </c>
      <c r="AB95" s="173">
        <f t="shared" si="39"/>
        <v>94.117647058823522</v>
      </c>
      <c r="AC95" s="173">
        <f>IF(AB95="","",IF($I$8="A",(RANK(AB95,AB$11:AB$333)+COUNTIF(AB$11:AB95,AB95)-1),(RANK(AB95,AB$11:AB$333,1)+COUNTIF(AB$11:AB95,AB95)-1)))</f>
        <v>32</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Essex</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East of England</v>
      </c>
      <c r="AQ95" s="42">
        <f t="shared" si="42"/>
        <v>94.117647058823522</v>
      </c>
      <c r="AR95" s="39">
        <f>IF(AQ95="","",IF(I$8="A",(RANK(AQ95,AQ$11:AQ$333,1)+COUNTIF(AQ$11:AQ95,AQ95)-1),(RANK(AQ95,AQ$11:AQ$333)+COUNTIF(AQ$11:AQ95,AQ95)-1)))</f>
        <v>19</v>
      </c>
      <c r="AS95" s="3" t="str">
        <f t="shared" si="54"/>
        <v/>
      </c>
      <c r="AT95" s="39" t="str">
        <f t="shared" si="49"/>
        <v/>
      </c>
      <c r="AU95" s="42" t="str">
        <f t="shared" si="50"/>
        <v/>
      </c>
      <c r="AX95">
        <f>HLOOKUP($AX$9&amp;$AX$10,Data!$A$1:$ZT$1975,(MATCH($C95,Data!$A$1:$A$1975,0)),FALSE)</f>
        <v>71.428571428571431</v>
      </c>
    </row>
    <row r="96" spans="1:50">
      <c r="A96" s="55" t="str">
        <f>$D$1&amp;86</f>
        <v>SD86</v>
      </c>
      <c r="B96" s="56">
        <f>IF(ISERROR(VLOOKUP(A96,classifications!A:C,3,FALSE)),0,VLOOKUP(A96,classifications!A:C,3,FALSE))</f>
        <v>0</v>
      </c>
      <c r="C96" t="s">
        <v>894</v>
      </c>
      <c r="D96" t="str">
        <f>VLOOKUP($C96,classifications!$C:$J,4,FALSE)</f>
        <v>SD</v>
      </c>
      <c r="E96" t="str">
        <f>VLOOKUP(C96,classifications!C:K,9,FALSE)</f>
        <v>Sparse</v>
      </c>
      <c r="F96">
        <f t="shared" si="43"/>
        <v>87.5</v>
      </c>
      <c r="G96" s="15"/>
      <c r="H96" s="41">
        <f t="shared" si="44"/>
        <v>87.5</v>
      </c>
      <c r="I96" s="73">
        <f>IF(H96="","",IF($I$8="A",(RANK(H96,H$11:H$333,1)+COUNTIF(H$11:H96,H96)-1),(RANK(H96,H$11:H$333)+COUNTIF(H$11:H96,H96)-1)))</f>
        <v>100</v>
      </c>
      <c r="J96" s="40"/>
      <c r="K96" s="35">
        <f t="shared" si="51"/>
        <v>86</v>
      </c>
      <c r="L96" t="str">
        <f t="shared" si="45"/>
        <v>South Holland</v>
      </c>
      <c r="M96" s="109">
        <f t="shared" si="46"/>
        <v>93.75</v>
      </c>
      <c r="N96" s="104">
        <f t="shared" si="31"/>
        <v>93.75</v>
      </c>
      <c r="O96" s="89" t="str">
        <f t="shared" si="32"/>
        <v/>
      </c>
      <c r="P96" s="89" t="str">
        <f t="shared" si="33"/>
        <v/>
      </c>
      <c r="Q96" s="89">
        <f t="shared" si="34"/>
        <v>93.75</v>
      </c>
      <c r="R96" s="85" t="str">
        <f t="shared" si="35"/>
        <v/>
      </c>
      <c r="S96" s="41" t="str">
        <f t="shared" si="36"/>
        <v/>
      </c>
      <c r="T96" s="166" t="str">
        <f>IF(L96="","",VLOOKUP(L96,classifications!C:K,9,FALSE))</f>
        <v>Sparse</v>
      </c>
      <c r="U96" s="167">
        <f t="shared" si="37"/>
        <v>93.75</v>
      </c>
      <c r="V96" s="173">
        <f>IF(U96="","",IF($I$8="A",(RANK(U96,U$11:U$333)+COUNTIF(U$11:U96,U96)-1),(RANK(U96,U$11:U$333,1)+COUNTIF(U$11:U96,U96)-1)))</f>
        <v>25</v>
      </c>
      <c r="W96" s="174"/>
      <c r="X96" s="5" t="str">
        <f>IF(L96="","",VLOOKUP($L96,classifications!$C:$J,6,FALSE))</f>
        <v xml:space="preserve">Predominantly Rural </v>
      </c>
      <c r="Y96">
        <f t="shared" si="38"/>
        <v>93.75</v>
      </c>
      <c r="Z96" s="39">
        <f>IF(Y96="","",IF(I$8="A",(RANK(Y96,Y$11:Y$333,1)+COUNTIF(Y$11:Y96,Y96)-1),(RANK(Y96,Y$11:Y$333)+COUNTIF(Y$11:Y96,Y96)-1)))</f>
        <v>28</v>
      </c>
      <c r="AA96" s="177" t="str">
        <f>IF(L96="","",VLOOKUP($L96,classifications!C:I,7,FALSE))</f>
        <v>Predominantly Rural</v>
      </c>
      <c r="AB96" s="173">
        <f t="shared" si="39"/>
        <v>93.75</v>
      </c>
      <c r="AC96" s="173">
        <f>IF(AB96="","",IF($I$8="A",(RANK(AB96,AB$11:AB$333)+COUNTIF(AB$11:AB96,AB96)-1),(RANK(AB96,AB$11:AB$333,1)+COUNTIF(AB$11:AB96,AB96)-1)))</f>
        <v>31</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Lincolnshire</v>
      </c>
      <c r="AJ96" s="42" t="str">
        <f t="shared" si="41"/>
        <v/>
      </c>
      <c r="AK96" s="39" t="str">
        <f>IF(AJ96="","",IF(I$8="A",(RANK(AJ96,AJ$11:AJ$333,1)+COUNTIF(AJ$11:AJ96,AJ96)-1),(RANK(AJ96,AJ$11:AJ$333)+COUNTIF(AJ$11:AJ96,AJ96)-1)))</f>
        <v/>
      </c>
      <c r="AL96" s="3" t="str">
        <f t="shared" si="53"/>
        <v/>
      </c>
      <c r="AM96" t="str">
        <f t="shared" si="47"/>
        <v/>
      </c>
      <c r="AN96" t="str">
        <f t="shared" si="48"/>
        <v/>
      </c>
      <c r="AP96" s="5" t="str">
        <f>IF(L96="","",VLOOKUP($L96,classifications!$C:$E,3,FALSE))</f>
        <v>East Midlands</v>
      </c>
      <c r="AQ96" s="42" t="str">
        <f t="shared" si="42"/>
        <v/>
      </c>
      <c r="AR96" s="39" t="str">
        <f>IF(AQ96="","",IF(I$8="A",(RANK(AQ96,AQ$11:AQ$333,1)+COUNTIF(AQ$11:AQ96,AQ96)-1),(RANK(AQ96,AQ$11:AQ$333)+COUNTIF(AQ$11:AQ96,AQ96)-1)))</f>
        <v/>
      </c>
      <c r="AS96" s="3" t="str">
        <f t="shared" si="54"/>
        <v/>
      </c>
      <c r="AT96" s="39" t="str">
        <f t="shared" si="49"/>
        <v/>
      </c>
      <c r="AU96" s="42" t="str">
        <f t="shared" si="50"/>
        <v/>
      </c>
      <c r="AX96">
        <f>HLOOKUP($AX$9&amp;$AX$10,Data!$A$1:$ZT$1975,(MATCH($C96,Data!$A$1:$A$1975,0)),FALSE)</f>
        <v>87.5</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West Lindsey</v>
      </c>
      <c r="M97" s="109">
        <f t="shared" si="46"/>
        <v>93.333333333333329</v>
      </c>
      <c r="N97" s="104">
        <f t="shared" si="31"/>
        <v>93.333333333333329</v>
      </c>
      <c r="O97" s="89" t="str">
        <f t="shared" si="32"/>
        <v/>
      </c>
      <c r="P97" s="89" t="str">
        <f t="shared" si="33"/>
        <v/>
      </c>
      <c r="Q97" s="89">
        <f t="shared" si="34"/>
        <v>93.333333333333329</v>
      </c>
      <c r="R97" s="85" t="str">
        <f t="shared" si="35"/>
        <v/>
      </c>
      <c r="S97" s="41" t="str">
        <f t="shared" si="36"/>
        <v/>
      </c>
      <c r="T97" s="166" t="str">
        <f>IF(L97="","",VLOOKUP(L97,classifications!C:K,9,FALSE))</f>
        <v>Sparse</v>
      </c>
      <c r="U97" s="167">
        <f t="shared" si="37"/>
        <v>93.333333333333329</v>
      </c>
      <c r="V97" s="173">
        <f>IF(U97="","",IF($I$8="A",(RANK(U97,U$11:U$333)+COUNTIF(U$11:U97,U97)-1),(RANK(U97,U$11:U$333,1)+COUNTIF(U$11:U97,U97)-1)))</f>
        <v>24</v>
      </c>
      <c r="W97" s="174"/>
      <c r="X97" s="5" t="str">
        <f>IF(L97="","",VLOOKUP($L97,classifications!$C:$J,6,FALSE))</f>
        <v xml:space="preserve">Predominantly Rural </v>
      </c>
      <c r="Y97">
        <f t="shared" si="38"/>
        <v>93.333333333333329</v>
      </c>
      <c r="Z97" s="39">
        <f>IF(Y97="","",IF(I$8="A",(RANK(Y97,Y$11:Y$333,1)+COUNTIF(Y$11:Y97,Y97)-1),(RANK(Y97,Y$11:Y$333)+COUNTIF(Y$11:Y97,Y97)-1)))</f>
        <v>29</v>
      </c>
      <c r="AA97" s="177" t="str">
        <f>IF(L97="","",VLOOKUP($L97,classifications!C:I,7,FALSE))</f>
        <v>Predominantly Rural</v>
      </c>
      <c r="AB97" s="173">
        <f t="shared" si="39"/>
        <v>93.333333333333329</v>
      </c>
      <c r="AC97" s="173">
        <f>IF(AB97="","",IF($I$8="A",(RANK(AB97,AB$11:AB$333)+COUNTIF(AB$11:AB97,AB97)-1),(RANK(AB97,AB$11:AB$333,1)+COUNTIF(AB$11:AB97,AB97)-1)))</f>
        <v>30</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Lincolnshire</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East Midlands</v>
      </c>
      <c r="AQ97" s="42" t="str">
        <f t="shared" si="42"/>
        <v/>
      </c>
      <c r="AR97" s="39" t="str">
        <f>IF(AQ97="","",IF(I$8="A",(RANK(AQ97,AQ$11:AQ$333,1)+COUNTIF(AQ$11:AQ97,AQ97)-1),(RANK(AQ97,AQ$11:AQ$333)+COUNTIF(AQ$11:AQ97,AQ97)-1)))</f>
        <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0</v>
      </c>
      <c r="G98" s="15"/>
      <c r="H98" s="41">
        <f t="shared" si="44"/>
        <v>0</v>
      </c>
      <c r="I98" s="73">
        <f>IF(H98="","",IF($I$8="A",(RANK(H98,H$11:H$333,1)+COUNTIF(H$11:H98,H98)-1),(RANK(H98,H$11:H$333)+COUNTIF(H$11:H98,H98)-1)))</f>
        <v>160</v>
      </c>
      <c r="J98" s="40"/>
      <c r="K98" s="35">
        <f t="shared" si="51"/>
        <v>88</v>
      </c>
      <c r="L98" t="str">
        <f t="shared" si="45"/>
        <v>Cherwell</v>
      </c>
      <c r="M98" s="109">
        <f t="shared" si="46"/>
        <v>92.857142857142861</v>
      </c>
      <c r="N98" s="104">
        <f t="shared" si="31"/>
        <v>92.857142857142861</v>
      </c>
      <c r="O98" s="89" t="str">
        <f t="shared" si="32"/>
        <v/>
      </c>
      <c r="P98" s="89" t="str">
        <f t="shared" si="33"/>
        <v/>
      </c>
      <c r="Q98" s="89">
        <f t="shared" si="34"/>
        <v>92.857142857142861</v>
      </c>
      <c r="R98" s="85" t="str">
        <f t="shared" si="35"/>
        <v/>
      </c>
      <c r="S98" s="41" t="str">
        <f t="shared" si="36"/>
        <v/>
      </c>
      <c r="T98" s="166">
        <f>IF(L98="","",VLOOKUP(L98,classifications!C:K,9,FALSE))</f>
        <v>0</v>
      </c>
      <c r="U98" s="167" t="str">
        <f t="shared" si="37"/>
        <v/>
      </c>
      <c r="V98" s="173" t="str">
        <f>IF(U98="","",IF($I$8="A",(RANK(U98,U$11:U$333)+COUNTIF(U$11:U98,U98)-1),(RANK(U98,U$11:U$333,1)+COUNTIF(U$11:U98,U98)-1)))</f>
        <v/>
      </c>
      <c r="W98" s="174"/>
      <c r="X98" s="5" t="str">
        <f>IF(L98="","",VLOOKUP($L98,classifications!$C:$J,6,FALSE))</f>
        <v>Urban with Significant Rural</v>
      </c>
      <c r="Y98" t="str">
        <f t="shared" si="38"/>
        <v/>
      </c>
      <c r="Z98" s="39" t="str">
        <f>IF(Y98="","",IF(I$8="A",(RANK(Y98,Y$11:Y$333,1)+COUNTIF(Y$11:Y98,Y98)-1),(RANK(Y98,Y$11:Y$333)+COUNTIF(Y$11:Y98,Y98)-1)))</f>
        <v/>
      </c>
      <c r="AA98" s="177" t="str">
        <f>IF(L98="","",VLOOKUP($L98,classifications!C:I,7,FALSE))</f>
        <v>Urban with Significant Rural</v>
      </c>
      <c r="AB98" s="173" t="str">
        <f t="shared" si="39"/>
        <v/>
      </c>
      <c r="AC98" s="173" t="str">
        <f>IF(AB98="","",IF($I$8="A",(RANK(AB98,AB$11:AB$333)+COUNTIF(AB$11:AB98,AB98)-1),(RANK(AB98,AB$11:AB$333,1)+COUNTIF(AB$11:AB98,AB98)-1)))</f>
        <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Oxfordshire</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South East</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0</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100</v>
      </c>
      <c r="G99" s="15"/>
      <c r="H99" s="41">
        <f t="shared" si="44"/>
        <v>100</v>
      </c>
      <c r="I99" s="73">
        <f>IF(H99="","",IF($I$8="A",(RANK(H99,H$11:H$333,1)+COUNTIF(H$11:H99,H99)-1),(RANK(H99,H$11:H$333)+COUNTIF(H$11:H99,H99)-1)))</f>
        <v>19</v>
      </c>
      <c r="J99" s="40"/>
      <c r="K99" s="35">
        <f t="shared" si="51"/>
        <v>89</v>
      </c>
      <c r="L99" t="str">
        <f t="shared" si="45"/>
        <v>Stratford-on-Avon</v>
      </c>
      <c r="M99" s="109">
        <f t="shared" si="46"/>
        <v>91.666666666666657</v>
      </c>
      <c r="N99" s="104">
        <f t="shared" si="31"/>
        <v>91.666666666666657</v>
      </c>
      <c r="O99" s="89" t="str">
        <f t="shared" si="32"/>
        <v/>
      </c>
      <c r="P99" s="89" t="str">
        <f t="shared" si="33"/>
        <v/>
      </c>
      <c r="Q99" s="89">
        <f t="shared" si="34"/>
        <v>91.666666666666657</v>
      </c>
      <c r="R99" s="85" t="str">
        <f t="shared" si="35"/>
        <v/>
      </c>
      <c r="S99" s="41" t="str">
        <f t="shared" si="36"/>
        <v/>
      </c>
      <c r="T99" s="166" t="str">
        <f>IF(L99="","",VLOOKUP(L99,classifications!C:K,9,FALSE))</f>
        <v>Sparse</v>
      </c>
      <c r="U99" s="167">
        <f t="shared" si="37"/>
        <v>91.666666666666657</v>
      </c>
      <c r="V99" s="173">
        <f>IF(U99="","",IF($I$8="A",(RANK(U99,U$11:U$333)+COUNTIF(U$11:U99,U99)-1),(RANK(U99,U$11:U$333,1)+COUNTIF(U$11:U99,U99)-1)))</f>
        <v>23</v>
      </c>
      <c r="W99" s="174"/>
      <c r="X99" s="5" t="str">
        <f>IF(L99="","",VLOOKUP($L99,classifications!$C:$J,6,FALSE))</f>
        <v xml:space="preserve">Predominantly Rural </v>
      </c>
      <c r="Y99">
        <f t="shared" si="38"/>
        <v>91.666666666666657</v>
      </c>
      <c r="Z99" s="39">
        <f>IF(Y99="","",IF(I$8="A",(RANK(Y99,Y$11:Y$333,1)+COUNTIF(Y$11:Y99,Y99)-1),(RANK(Y99,Y$11:Y$333)+COUNTIF(Y$11:Y99,Y99)-1)))</f>
        <v>30</v>
      </c>
      <c r="AA99" s="177" t="str">
        <f>IF(L99="","",VLOOKUP($L99,classifications!C:I,7,FALSE))</f>
        <v>Predominantly Rural</v>
      </c>
      <c r="AB99" s="173">
        <f t="shared" si="39"/>
        <v>91.666666666666657</v>
      </c>
      <c r="AC99" s="173">
        <f>IF(AB99="","",IF($I$8="A",(RANK(AB99,AB$11:AB$333)+COUNTIF(AB$11:AB99,AB99)-1),(RANK(AB99,AB$11:AB$333,1)+COUNTIF(AB$11:AB99,AB99)-1)))</f>
        <v>29</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Warwickshire</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West Midlands</v>
      </c>
      <c r="AQ99" s="42" t="str">
        <f t="shared" si="42"/>
        <v/>
      </c>
      <c r="AR99" s="39" t="str">
        <f>IF(AQ99="","",IF(I$8="A",(RANK(AQ99,AQ$11:AQ$333,1)+COUNTIF(AQ$11:AQ99,AQ99)-1),(RANK(AQ99,AQ$11:AQ$333)+COUNTIF(AQ$11:AQ99,AQ99)-1)))</f>
        <v/>
      </c>
      <c r="AS99" s="3" t="str">
        <f t="shared" si="54"/>
        <v/>
      </c>
      <c r="AT99" s="39" t="str">
        <f t="shared" si="49"/>
        <v/>
      </c>
      <c r="AU99" s="42" t="str">
        <f t="shared" si="50"/>
        <v/>
      </c>
      <c r="AX99">
        <f>HLOOKUP($AX$9&amp;$AX$10,Data!$A$1:$ZT$1975,(MATCH($C99,Data!$A$1:$A$1975,0)),FALSE)</f>
        <v>100</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100</v>
      </c>
      <c r="G100" s="15"/>
      <c r="H100" s="41">
        <f t="shared" si="44"/>
        <v>100</v>
      </c>
      <c r="I100" s="73">
        <f>IF(H100="","",IF($I$8="A",(RANK(H100,H$11:H$333,1)+COUNTIF(H$11:H100,H100)-1),(RANK(H100,H$11:H$333)+COUNTIF(H$11:H100,H100)-1)))</f>
        <v>20</v>
      </c>
      <c r="J100" s="40"/>
      <c r="K100" s="35">
        <f t="shared" si="51"/>
        <v>90</v>
      </c>
      <c r="L100" t="str">
        <f t="shared" si="45"/>
        <v>Broadland</v>
      </c>
      <c r="M100" s="109">
        <f t="shared" si="46"/>
        <v>90.909090909090907</v>
      </c>
      <c r="N100" s="104">
        <f t="shared" si="31"/>
        <v>90.909090909090907</v>
      </c>
      <c r="O100" s="89" t="str">
        <f t="shared" si="32"/>
        <v/>
      </c>
      <c r="P100" s="89" t="str">
        <f t="shared" si="33"/>
        <v/>
      </c>
      <c r="Q100" s="89">
        <f t="shared" si="34"/>
        <v>90.909090909090907</v>
      </c>
      <c r="R100" s="85" t="str">
        <f t="shared" si="35"/>
        <v/>
      </c>
      <c r="S100" s="41" t="str">
        <f t="shared" si="36"/>
        <v/>
      </c>
      <c r="T100" s="166">
        <f>IF(L100="","",VLOOKUP(L100,classifications!C:K,9,FALSE))</f>
        <v>0</v>
      </c>
      <c r="U100" s="167" t="str">
        <f t="shared" si="37"/>
        <v/>
      </c>
      <c r="V100" s="173" t="str">
        <f>IF(U100="","",IF($I$8="A",(RANK(U100,U$11:U$333)+COUNTIF(U$11:U100,U100)-1),(RANK(U100,U$11:U$333,1)+COUNTIF(U$11:U100,U100)-1)))</f>
        <v/>
      </c>
      <c r="W100" s="174"/>
      <c r="X100" s="5" t="str">
        <f>IF(L100="","",VLOOKUP($L100,classifications!$C:$J,6,FALSE))</f>
        <v>Urban with Significant Rural</v>
      </c>
      <c r="Y100" t="str">
        <f t="shared" si="38"/>
        <v/>
      </c>
      <c r="Z100" s="39" t="str">
        <f>IF(Y100="","",IF(I$8="A",(RANK(Y100,Y$11:Y$333,1)+COUNTIF(Y$11:Y100,Y100)-1),(RANK(Y100,Y$11:Y$333)+COUNTIF(Y$11:Y100,Y100)-1)))</f>
        <v/>
      </c>
      <c r="AA100" s="177" t="str">
        <f>IF(L100="","",VLOOKUP($L100,classifications!C:I,7,FALSE))</f>
        <v>Urban with Significant Rural</v>
      </c>
      <c r="AB100" s="173" t="str">
        <f t="shared" si="39"/>
        <v/>
      </c>
      <c r="AC100" s="173" t="str">
        <f>IF(AB100="","",IF($I$8="A",(RANK(AB100,AB$11:AB$333)+COUNTIF(AB$11:AB100,AB100)-1),(RANK(AB100,AB$11:AB$333,1)+COUNTIF(AB$11:AB100,AB100)-1)))</f>
        <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Norfolk</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East of England</v>
      </c>
      <c r="AQ100" s="42">
        <f t="shared" si="42"/>
        <v>90.909090909090907</v>
      </c>
      <c r="AR100" s="39">
        <f>IF(AQ100="","",IF(I$8="A",(RANK(AQ100,AQ$11:AQ$333,1)+COUNTIF(AQ$11:AQ100,AQ100)-1),(RANK(AQ100,AQ$11:AQ$333)+COUNTIF(AQ$11:AQ100,AQ100)-1)))</f>
        <v>20</v>
      </c>
      <c r="AS100" s="3" t="str">
        <f t="shared" si="54"/>
        <v/>
      </c>
      <c r="AT100" s="39" t="str">
        <f t="shared" si="49"/>
        <v/>
      </c>
      <c r="AU100" s="42" t="str">
        <f t="shared" si="50"/>
        <v/>
      </c>
      <c r="AX100">
        <f>HLOOKUP($AX$9&amp;$AX$10,Data!$A$1:$ZT$1975,(MATCH($C100,Data!$A$1:$A$1975,0)),FALSE)</f>
        <v>100</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75</v>
      </c>
      <c r="G101" s="15"/>
      <c r="H101" s="41" t="str">
        <f t="shared" si="44"/>
        <v/>
      </c>
      <c r="I101" s="73" t="str">
        <f>IF(H101="","",IF($I$8="A",(RANK(H101,H$11:H$333,1)+COUNTIF(H$11:H101,H101)-1),(RANK(H101,H$11:H$333)+COUNTIF(H$11:H101,H101)-1)))</f>
        <v/>
      </c>
      <c r="J101" s="40"/>
      <c r="K101" s="35">
        <f t="shared" si="51"/>
        <v>91</v>
      </c>
      <c r="L101" t="str">
        <f t="shared" si="45"/>
        <v>Fenland</v>
      </c>
      <c r="M101" s="109">
        <f t="shared" si="46"/>
        <v>90.909090909090907</v>
      </c>
      <c r="N101" s="104">
        <f t="shared" si="31"/>
        <v>90.909090909090907</v>
      </c>
      <c r="O101" s="89" t="str">
        <f t="shared" si="32"/>
        <v/>
      </c>
      <c r="P101" s="89" t="str">
        <f t="shared" si="33"/>
        <v/>
      </c>
      <c r="Q101" s="89">
        <f t="shared" si="34"/>
        <v>90.909090909090907</v>
      </c>
      <c r="R101" s="85" t="str">
        <f t="shared" si="35"/>
        <v/>
      </c>
      <c r="S101" s="41" t="str">
        <f t="shared" si="36"/>
        <v/>
      </c>
      <c r="T101" s="166">
        <f>IF(L101="","",VLOOKUP(L101,classifications!C:K,9,FALSE))</f>
        <v>0</v>
      </c>
      <c r="U101" s="167" t="str">
        <f t="shared" si="37"/>
        <v/>
      </c>
      <c r="V101" s="173" t="str">
        <f>IF(U101="","",IF($I$8="A",(RANK(U101,U$11:U$333)+COUNTIF(U$11:U101,U101)-1),(RANK(U101,U$11:U$333,1)+COUNTIF(U$11:U101,U101)-1)))</f>
        <v/>
      </c>
      <c r="W101" s="174"/>
      <c r="X101" s="5" t="str">
        <f>IF(L101="","",VLOOKUP($L101,classifications!$C:$J,6,FALSE))</f>
        <v xml:space="preserve">Predominantly Rural </v>
      </c>
      <c r="Y101">
        <f t="shared" si="38"/>
        <v>90.909090909090907</v>
      </c>
      <c r="Z101" s="39">
        <f>IF(Y101="","",IF(I$8="A",(RANK(Y101,Y$11:Y$333,1)+COUNTIF(Y$11:Y101,Y101)-1),(RANK(Y101,Y$11:Y$333)+COUNTIF(Y$11:Y101,Y101)-1)))</f>
        <v>31</v>
      </c>
      <c r="AA101" s="177" t="str">
        <f>IF(L101="","",VLOOKUP($L101,classifications!C:I,7,FALSE))</f>
        <v>Predominantly Rural</v>
      </c>
      <c r="AB101" s="173">
        <f t="shared" si="39"/>
        <v>90.909090909090907</v>
      </c>
      <c r="AC101" s="173">
        <f>IF(AB101="","",IF($I$8="A",(RANK(AB101,AB$11:AB$333)+COUNTIF(AB$11:AB101,AB101)-1),(RANK(AB101,AB$11:AB$333,1)+COUNTIF(AB$11:AB101,AB101)-1)))</f>
        <v>26</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Cambridgeshire</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East of England</v>
      </c>
      <c r="AQ101" s="42">
        <f t="shared" si="42"/>
        <v>90.909090909090907</v>
      </c>
      <c r="AR101" s="39">
        <f>IF(AQ101="","",IF(I$8="A",(RANK(AQ101,AQ$11:AQ$333,1)+COUNTIF(AQ$11:AQ101,AQ101)-1),(RANK(AQ101,AQ$11:AQ$333)+COUNTIF(AQ$11:AQ101,AQ101)-1)))</f>
        <v>21</v>
      </c>
      <c r="AS101" s="3" t="str">
        <f t="shared" si="54"/>
        <v/>
      </c>
      <c r="AT101" s="39" t="str">
        <f t="shared" si="49"/>
        <v/>
      </c>
      <c r="AU101" s="42" t="str">
        <f t="shared" si="50"/>
        <v/>
      </c>
      <c r="AX101">
        <f>HLOOKUP($AX$9&amp;$AX$10,Data!$A$1:$ZT$1975,(MATCH($C101,Data!$A$1:$A$1975,0)),FALSE)</f>
        <v>75</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100</v>
      </c>
      <c r="G102" s="15"/>
      <c r="H102" s="41">
        <f t="shared" si="44"/>
        <v>100</v>
      </c>
      <c r="I102" s="73">
        <f>IF(H102="","",IF($I$8="A",(RANK(H102,H$11:H$333,1)+COUNTIF(H$11:H102,H102)-1),(RANK(H102,H$11:H$333)+COUNTIF(H$11:H102,H102)-1)))</f>
        <v>21</v>
      </c>
      <c r="J102" s="40"/>
      <c r="K102" s="35">
        <f t="shared" si="51"/>
        <v>92</v>
      </c>
      <c r="L102" t="str">
        <f t="shared" si="45"/>
        <v>South Kesteven</v>
      </c>
      <c r="M102" s="109">
        <f t="shared" si="46"/>
        <v>90.909090909090907</v>
      </c>
      <c r="N102" s="104">
        <f t="shared" si="31"/>
        <v>90.909090909090907</v>
      </c>
      <c r="O102" s="89" t="str">
        <f t="shared" si="32"/>
        <v/>
      </c>
      <c r="P102" s="89" t="str">
        <f t="shared" si="33"/>
        <v/>
      </c>
      <c r="Q102" s="89">
        <f t="shared" si="34"/>
        <v>90.909090909090907</v>
      </c>
      <c r="R102" s="85" t="str">
        <f t="shared" si="35"/>
        <v/>
      </c>
      <c r="S102" s="41" t="str">
        <f t="shared" si="36"/>
        <v/>
      </c>
      <c r="T102" s="166" t="str">
        <f>IF(L102="","",VLOOKUP(L102,classifications!C:K,9,FALSE))</f>
        <v>Sparse</v>
      </c>
      <c r="U102" s="167">
        <f t="shared" si="37"/>
        <v>90.909090909090907</v>
      </c>
      <c r="V102" s="173">
        <f>IF(U102="","",IF($I$8="A",(RANK(U102,U$11:U$333)+COUNTIF(U$11:U102,U102)-1),(RANK(U102,U$11:U$333,1)+COUNTIF(U$11:U102,U102)-1)))</f>
        <v>21</v>
      </c>
      <c r="W102" s="174"/>
      <c r="X102" s="5" t="str">
        <f>IF(L102="","",VLOOKUP($L102,classifications!$C:$J,6,FALSE))</f>
        <v xml:space="preserve">Predominantly Rural </v>
      </c>
      <c r="Y102">
        <f t="shared" si="38"/>
        <v>90.909090909090907</v>
      </c>
      <c r="Z102" s="39">
        <f>IF(Y102="","",IF(I$8="A",(RANK(Y102,Y$11:Y$333,1)+COUNTIF(Y$11:Y102,Y102)-1),(RANK(Y102,Y$11:Y$333)+COUNTIF(Y$11:Y102,Y102)-1)))</f>
        <v>32</v>
      </c>
      <c r="AA102" s="177" t="str">
        <f>IF(L102="","",VLOOKUP($L102,classifications!C:I,7,FALSE))</f>
        <v>Predominantly Rural</v>
      </c>
      <c r="AB102" s="173">
        <f t="shared" si="39"/>
        <v>90.909090909090907</v>
      </c>
      <c r="AC102" s="173">
        <f>IF(AB102="","",IF($I$8="A",(RANK(AB102,AB$11:AB$333)+COUNTIF(AB$11:AB102,AB102)-1),(RANK(AB102,AB$11:AB$333,1)+COUNTIF(AB$11:AB102,AB102)-1)))</f>
        <v>27</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Lincolnshire</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East Midlands</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100</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f t="shared" si="44"/>
        <v>100</v>
      </c>
      <c r="I103" s="73">
        <f>IF(H103="","",IF($I$8="A",(RANK(H103,H$11:H$333,1)+COUNTIF(H$11:H103,H103)-1),(RANK(H103,H$11:H$333)+COUNTIF(H$11:H103,H103)-1)))</f>
        <v>22</v>
      </c>
      <c r="J103" s="40"/>
      <c r="K103" s="35">
        <f t="shared" si="51"/>
        <v>93</v>
      </c>
      <c r="L103" t="str">
        <f t="shared" si="45"/>
        <v>West Suffolk</v>
      </c>
      <c r="M103" s="109">
        <f t="shared" si="46"/>
        <v>90.909090909090907</v>
      </c>
      <c r="N103" s="104">
        <f t="shared" si="31"/>
        <v>90.909090909090907</v>
      </c>
      <c r="O103" s="89" t="str">
        <f t="shared" si="32"/>
        <v/>
      </c>
      <c r="P103" s="89" t="str">
        <f t="shared" si="33"/>
        <v/>
      </c>
      <c r="Q103" s="89">
        <f t="shared" si="34"/>
        <v>90.909090909090907</v>
      </c>
      <c r="R103" s="85" t="str">
        <f t="shared" si="35"/>
        <v/>
      </c>
      <c r="S103" s="41" t="str">
        <f t="shared" si="36"/>
        <v/>
      </c>
      <c r="T103" s="166" t="str">
        <f>IF(L103="","",VLOOKUP(L103,classifications!C:K,9,FALSE))</f>
        <v>Sparse</v>
      </c>
      <c r="U103" s="167">
        <f t="shared" si="37"/>
        <v>90.909090909090907</v>
      </c>
      <c r="V103" s="173">
        <f>IF(U103="","",IF($I$8="A",(RANK(U103,U$11:U$333)+COUNTIF(U$11:U103,U103)-1),(RANK(U103,U$11:U$333,1)+COUNTIF(U$11:U103,U103)-1)))</f>
        <v>22</v>
      </c>
      <c r="W103" s="174"/>
      <c r="X103" s="5" t="str">
        <f>IF(L103="","",VLOOKUP($L103,classifications!$C:$J,6,FALSE))</f>
        <v xml:space="preserve">Predominantly Rural </v>
      </c>
      <c r="Y103">
        <f t="shared" si="38"/>
        <v>90.909090909090907</v>
      </c>
      <c r="Z103" s="39">
        <f>IF(Y103="","",IF(I$8="A",(RANK(Y103,Y$11:Y$333,1)+COUNTIF(Y$11:Y103,Y103)-1),(RANK(Y103,Y$11:Y$333)+COUNTIF(Y$11:Y103,Y103)-1)))</f>
        <v>33</v>
      </c>
      <c r="AA103" s="177" t="str">
        <f>IF(L103="","",VLOOKUP($L103,classifications!C:I,7,FALSE))</f>
        <v>Predominantly Rural</v>
      </c>
      <c r="AB103" s="173">
        <f t="shared" si="39"/>
        <v>90.909090909090907</v>
      </c>
      <c r="AC103" s="173">
        <f>IF(AB103="","",IF($I$8="A",(RANK(AB103,AB$11:AB$333)+COUNTIF(AB$11:AB103,AB103)-1),(RANK(AB103,AB$11:AB$333,1)+COUNTIF(AB$11:AB103,AB103)-1)))</f>
        <v>28</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Suffolk</v>
      </c>
      <c r="AJ103" s="42">
        <f t="shared" si="41"/>
        <v>90.909090909090907</v>
      </c>
      <c r="AK103" s="39">
        <f>IF(AJ103="","",IF(I$8="A",(RANK(AJ103,AJ$11:AJ$333,1)+COUNTIF(AJ$11:AJ103,AJ103)-1),(RANK(AJ103,AJ$11:AJ$333)+COUNTIF(AJ$11:AJ103,AJ103)-1)))</f>
        <v>2</v>
      </c>
      <c r="AL103" s="3" t="str">
        <f t="shared" si="53"/>
        <v/>
      </c>
      <c r="AM103" t="str">
        <f t="shared" si="47"/>
        <v/>
      </c>
      <c r="AN103" t="str">
        <f t="shared" si="48"/>
        <v/>
      </c>
      <c r="AP103" s="5" t="str">
        <f>IF(L103="","",VLOOKUP($L103,classifications!$C:$E,3,FALSE))</f>
        <v>East of England</v>
      </c>
      <c r="AQ103" s="42">
        <f t="shared" si="42"/>
        <v>90.909090909090907</v>
      </c>
      <c r="AR103" s="39">
        <f>IF(AQ103="","",IF(I$8="A",(RANK(AQ103,AQ$11:AQ$333,1)+COUNTIF(AQ$11:AQ103,AQ103)-1),(RANK(AQ103,AQ$11:AQ$333)+COUNTIF(AQ$11:AQ103,AQ103)-1)))</f>
        <v>22</v>
      </c>
      <c r="AS103" s="3" t="str">
        <f t="shared" si="54"/>
        <v/>
      </c>
      <c r="AT103" s="39" t="str">
        <f t="shared" si="49"/>
        <v/>
      </c>
      <c r="AU103" s="42" t="str">
        <f t="shared" si="50"/>
        <v/>
      </c>
      <c r="AX103">
        <f>HLOOKUP($AX$9&amp;$AX$10,Data!$A$1:$ZT$1975,(MATCH($C103,Data!$A$1:$A$1975,0)),FALSE)</f>
        <v>100</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f t="shared" si="44"/>
        <v>100</v>
      </c>
      <c r="I104" s="73">
        <f>IF(H104="","",IF($I$8="A",(RANK(H104,H$11:H$333,1)+COUNTIF(H$11:H104,H104)-1),(RANK(H104,H$11:H$333)+COUNTIF(H$11:H104,H104)-1)))</f>
        <v>23</v>
      </c>
      <c r="J104" s="40"/>
      <c r="K104" s="35">
        <f t="shared" si="51"/>
        <v>94</v>
      </c>
      <c r="L104" t="str">
        <f t="shared" si="45"/>
        <v>South Cambridgeshire</v>
      </c>
      <c r="M104" s="109">
        <f t="shared" si="46"/>
        <v>90</v>
      </c>
      <c r="N104" s="104">
        <f t="shared" si="31"/>
        <v>90</v>
      </c>
      <c r="O104" s="89" t="str">
        <f t="shared" si="32"/>
        <v/>
      </c>
      <c r="P104" s="89" t="str">
        <f t="shared" si="33"/>
        <v/>
      </c>
      <c r="Q104" s="89">
        <f t="shared" si="34"/>
        <v>90</v>
      </c>
      <c r="R104" s="85" t="str">
        <f t="shared" si="35"/>
        <v/>
      </c>
      <c r="S104" s="41" t="str">
        <f t="shared" si="36"/>
        <v/>
      </c>
      <c r="T104" s="166" t="str">
        <f>IF(L104="","",VLOOKUP(L104,classifications!C:K,9,FALSE))</f>
        <v>Sparse</v>
      </c>
      <c r="U104" s="167">
        <f t="shared" si="37"/>
        <v>90</v>
      </c>
      <c r="V104" s="173">
        <f>IF(U104="","",IF($I$8="A",(RANK(U104,U$11:U$333)+COUNTIF(U$11:U104,U104)-1),(RANK(U104,U$11:U$333,1)+COUNTIF(U$11:U104,U104)-1)))</f>
        <v>20</v>
      </c>
      <c r="W104" s="174"/>
      <c r="X104" s="5" t="str">
        <f>IF(L104="","",VLOOKUP($L104,classifications!$C:$J,6,FALSE))</f>
        <v xml:space="preserve">Predominantly Rural </v>
      </c>
      <c r="Y104">
        <f t="shared" si="38"/>
        <v>90</v>
      </c>
      <c r="Z104" s="39">
        <f>IF(Y104="","",IF(I$8="A",(RANK(Y104,Y$11:Y$333,1)+COUNTIF(Y$11:Y104,Y104)-1),(RANK(Y104,Y$11:Y$333)+COUNTIF(Y$11:Y104,Y104)-1)))</f>
        <v>34</v>
      </c>
      <c r="AA104" s="177" t="str">
        <f>IF(L104="","",VLOOKUP($L104,classifications!C:I,7,FALSE))</f>
        <v>Predominantly Rural</v>
      </c>
      <c r="AB104" s="173">
        <f t="shared" si="39"/>
        <v>90</v>
      </c>
      <c r="AC104" s="173">
        <f>IF(AB104="","",IF($I$8="A",(RANK(AB104,AB$11:AB$333)+COUNTIF(AB$11:AB104,AB104)-1),(RANK(AB104,AB$11:AB$333,1)+COUNTIF(AB$11:AB104,AB104)-1)))</f>
        <v>25</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Cambridgeshire</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East of England</v>
      </c>
      <c r="AQ104" s="42">
        <f t="shared" si="42"/>
        <v>90</v>
      </c>
      <c r="AR104" s="39">
        <f>IF(AQ104="","",IF(I$8="A",(RANK(AQ104,AQ$11:AQ$333,1)+COUNTIF(AQ$11:AQ104,AQ104)-1),(RANK(AQ104,AQ$11:AQ$333)+COUNTIF(AQ$11:AQ104,AQ104)-1)))</f>
        <v>23</v>
      </c>
      <c r="AS104" s="3" t="str">
        <f t="shared" si="54"/>
        <v/>
      </c>
      <c r="AT104" s="39" t="str">
        <f t="shared" si="49"/>
        <v/>
      </c>
      <c r="AU104" s="42" t="str">
        <f t="shared" si="50"/>
        <v/>
      </c>
      <c r="AX104">
        <f>HLOOKUP($AX$9&amp;$AX$10,Data!$A$1:$ZT$1975,(MATCH($C104,Data!$A$1:$A$1975,0)),FALSE)</f>
        <v>100</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Canterbury</v>
      </c>
      <c r="M105" s="109">
        <f t="shared" si="46"/>
        <v>88.888888888888886</v>
      </c>
      <c r="N105" s="104">
        <f t="shared" si="31"/>
        <v>88.888888888888886</v>
      </c>
      <c r="O105" s="89" t="str">
        <f t="shared" si="32"/>
        <v/>
      </c>
      <c r="P105" s="89" t="str">
        <f t="shared" si="33"/>
        <v/>
      </c>
      <c r="Q105" s="89">
        <f t="shared" si="34"/>
        <v>88.888888888888886</v>
      </c>
      <c r="R105" s="85" t="str">
        <f t="shared" si="35"/>
        <v/>
      </c>
      <c r="S105" s="41" t="str">
        <f t="shared" si="36"/>
        <v/>
      </c>
      <c r="T105" s="166">
        <f>IF(L105="","",VLOOKUP(L105,classifications!C:K,9,FALSE))</f>
        <v>0</v>
      </c>
      <c r="U105" s="167" t="str">
        <f t="shared" si="37"/>
        <v/>
      </c>
      <c r="V105" s="173" t="str">
        <f>IF(U105="","",IF($I$8="A",(RANK(U105,U$11:U$333)+COUNTIF(U$11:U105,U105)-1),(RANK(U105,U$11:U$333,1)+COUNTIF(U$11:U105,U105)-1)))</f>
        <v/>
      </c>
      <c r="W105" s="174"/>
      <c r="X105" s="5" t="str">
        <f>IF(L105="","",VLOOKUP($L105,classifications!$C:$J,6,FALSE))</f>
        <v>Predominantly Urban</v>
      </c>
      <c r="Y105" t="str">
        <f t="shared" si="38"/>
        <v/>
      </c>
      <c r="Z105" s="39" t="str">
        <f>IF(Y105="","",IF(I$8="A",(RANK(Y105,Y$11:Y$333,1)+COUNTIF(Y$11:Y105,Y105)-1),(RANK(Y105,Y$11:Y$333)+COUNTIF(Y$11:Y105,Y105)-1)))</f>
        <v/>
      </c>
      <c r="AA105" s="177" t="str">
        <f>IF(L105="","",VLOOKUP($L105,classifications!C:I,7,FALSE))</f>
        <v>Predominantly Urban</v>
      </c>
      <c r="AB105" s="173" t="str">
        <f t="shared" si="39"/>
        <v/>
      </c>
      <c r="AC105" s="173" t="str">
        <f>IF(AB105="","",IF($I$8="A",(RANK(AB105,AB$11:AB$333)+COUNTIF(AB$11:AB105,AB105)-1),(RANK(AB105,AB$11:AB$333,1)+COUNTIF(AB$11:AB105,AB105)-1)))</f>
        <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Kent</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South East</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100</v>
      </c>
      <c r="G106" s="15"/>
      <c r="H106" s="41">
        <f t="shared" si="44"/>
        <v>100</v>
      </c>
      <c r="I106" s="73">
        <f>IF(H106="","",IF($I$8="A",(RANK(H106,H$11:H$333,1)+COUNTIF(H$11:H106,H106)-1),(RANK(H106,H$11:H$333)+COUNTIF(H$11:H106,H106)-1)))</f>
        <v>24</v>
      </c>
      <c r="J106" s="40"/>
      <c r="K106" s="35">
        <f t="shared" si="51"/>
        <v>96</v>
      </c>
      <c r="L106" t="str">
        <f t="shared" si="45"/>
        <v>Chelmsford</v>
      </c>
      <c r="M106" s="109">
        <f t="shared" si="46"/>
        <v>88.888888888888886</v>
      </c>
      <c r="N106" s="104">
        <f t="shared" si="31"/>
        <v>88.888888888888886</v>
      </c>
      <c r="O106" s="89" t="str">
        <f t="shared" si="32"/>
        <v/>
      </c>
      <c r="P106" s="89" t="str">
        <f t="shared" si="33"/>
        <v/>
      </c>
      <c r="Q106" s="89">
        <f t="shared" si="34"/>
        <v>88.888888888888886</v>
      </c>
      <c r="R106" s="85" t="str">
        <f t="shared" si="35"/>
        <v/>
      </c>
      <c r="S106" s="41" t="str">
        <f t="shared" si="36"/>
        <v/>
      </c>
      <c r="T106" s="166">
        <f>IF(L106="","",VLOOKUP(L106,classifications!C:K,9,FALSE))</f>
        <v>0</v>
      </c>
      <c r="U106" s="167" t="str">
        <f t="shared" si="37"/>
        <v/>
      </c>
      <c r="V106" s="173" t="str">
        <f>IF(U106="","",IF($I$8="A",(RANK(U106,U$11:U$333)+COUNTIF(U$11:U106,U106)-1),(RANK(U106,U$11:U$333,1)+COUNTIF(U$11:U106,U106)-1)))</f>
        <v/>
      </c>
      <c r="W106" s="174"/>
      <c r="X106" s="5" t="str">
        <f>IF(L106="","",VLOOKUP($L106,classifications!$C:$J,6,FALSE))</f>
        <v>Predominantly Urban</v>
      </c>
      <c r="Y106" t="str">
        <f t="shared" si="38"/>
        <v/>
      </c>
      <c r="Z106" s="39" t="str">
        <f>IF(Y106="","",IF(I$8="A",(RANK(Y106,Y$11:Y$333,1)+COUNTIF(Y$11:Y106,Y106)-1),(RANK(Y106,Y$11:Y$333)+COUNTIF(Y$11:Y106,Y106)-1)))</f>
        <v/>
      </c>
      <c r="AA106" s="177" t="str">
        <f>IF(L106="","",VLOOKUP($L106,classifications!C:I,7,FALSE))</f>
        <v>Predominantly Urban</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Essex</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East of England</v>
      </c>
      <c r="AQ106" s="42">
        <f t="shared" si="42"/>
        <v>88.888888888888886</v>
      </c>
      <c r="AR106" s="39">
        <f>IF(AQ106="","",IF(I$8="A",(RANK(AQ106,AQ$11:AQ$333,1)+COUNTIF(AQ$11:AQ106,AQ106)-1),(RANK(AQ106,AQ$11:AQ$333)+COUNTIF(AQ$11:AQ106,AQ106)-1)))</f>
        <v>24</v>
      </c>
      <c r="AS106" s="3" t="str">
        <f t="shared" si="54"/>
        <v/>
      </c>
      <c r="AT106" s="39" t="str">
        <f t="shared" si="49"/>
        <v/>
      </c>
      <c r="AU106" s="42" t="str">
        <f t="shared" si="50"/>
        <v/>
      </c>
      <c r="AX106">
        <f>HLOOKUP($AX$9&amp;$AX$10,Data!$A$1:$ZT$1975,(MATCH($C106,Data!$A$1:$A$1975,0)),FALSE)</f>
        <v>100</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f t="shared" si="44"/>
        <v>100</v>
      </c>
      <c r="I107" s="73">
        <f>IF(H107="","",IF($I$8="A",(RANK(H107,H$11:H$333,1)+COUNTIF(H$11:H107,H107)-1),(RANK(H107,H$11:H$333)+COUNTIF(H$11:H107,H107)-1)))</f>
        <v>25</v>
      </c>
      <c r="J107" s="40"/>
      <c r="K107" s="35">
        <f t="shared" si="51"/>
        <v>97</v>
      </c>
      <c r="L107" t="str">
        <f t="shared" si="45"/>
        <v>Warwick</v>
      </c>
      <c r="M107" s="109">
        <f t="shared" si="46"/>
        <v>88.888888888888886</v>
      </c>
      <c r="N107" s="104">
        <f t="shared" si="31"/>
        <v>88.888888888888886</v>
      </c>
      <c r="O107" s="89" t="str">
        <f t="shared" si="32"/>
        <v/>
      </c>
      <c r="P107" s="89" t="str">
        <f t="shared" si="33"/>
        <v/>
      </c>
      <c r="Q107" s="89">
        <f t="shared" si="34"/>
        <v>88.888888888888886</v>
      </c>
      <c r="R107" s="85" t="str">
        <f t="shared" si="35"/>
        <v/>
      </c>
      <c r="S107" s="41" t="str">
        <f t="shared" si="36"/>
        <v/>
      </c>
      <c r="T107" s="166">
        <f>IF(L107="","",VLOOKUP(L107,classifications!C:K,9,FALSE))</f>
        <v>0</v>
      </c>
      <c r="U107" s="167" t="str">
        <f t="shared" si="37"/>
        <v/>
      </c>
      <c r="V107" s="173" t="str">
        <f>IF(U107="","",IF($I$8="A",(RANK(U107,U$11:U$333)+COUNTIF(U$11:U107,U107)-1),(RANK(U107,U$11:U$333,1)+COUNTIF(U$11:U107,U107)-1)))</f>
        <v/>
      </c>
      <c r="W107" s="174"/>
      <c r="X107" s="5" t="str">
        <f>IF(L107="","",VLOOKUP($L107,classifications!$C:$J,6,FALSE))</f>
        <v>Predominantly Urban</v>
      </c>
      <c r="Y107" t="str">
        <f t="shared" si="38"/>
        <v/>
      </c>
      <c r="Z107" s="39" t="str">
        <f>IF(Y107="","",IF(I$8="A",(RANK(Y107,Y$11:Y$333,1)+COUNTIF(Y$11:Y107,Y107)-1),(RANK(Y107,Y$11:Y$333)+COUNTIF(Y$11:Y107,Y107)-1)))</f>
        <v/>
      </c>
      <c r="AA107" s="177" t="str">
        <f>IF(L107="","",VLOOKUP($L107,classifications!C:I,7,FALSE))</f>
        <v>Predominantly Urban</v>
      </c>
      <c r="AB107" s="173" t="str">
        <f t="shared" si="39"/>
        <v/>
      </c>
      <c r="AC107" s="173" t="str">
        <f>IF(AB107="","",IF($I$8="A",(RANK(AB107,AB$11:AB$333)+COUNTIF(AB$11:AB107,AB107)-1),(RANK(AB107,AB$11:AB$333,1)+COUNTIF(AB$11:AB107,AB107)-1)))</f>
        <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Warwickshire</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West Midlands</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90.909090909090907</v>
      </c>
      <c r="G108" s="15"/>
      <c r="H108" s="41">
        <f t="shared" si="44"/>
        <v>90.909090909090907</v>
      </c>
      <c r="I108" s="73">
        <f>IF(H108="","",IF($I$8="A",(RANK(H108,H$11:H$333,1)+COUNTIF(H$11:H108,H108)-1),(RANK(H108,H$11:H$333)+COUNTIF(H$11:H108,H108)-1)))</f>
        <v>91</v>
      </c>
      <c r="J108" s="40"/>
      <c r="K108" s="35">
        <f t="shared" si="51"/>
        <v>98</v>
      </c>
      <c r="L108" t="str">
        <f t="shared" si="45"/>
        <v>Swale</v>
      </c>
      <c r="M108" s="109">
        <f t="shared" si="46"/>
        <v>88.235294117647058</v>
      </c>
      <c r="N108" s="104">
        <f t="shared" si="31"/>
        <v>88.235294117647058</v>
      </c>
      <c r="O108" s="89" t="str">
        <f t="shared" si="32"/>
        <v/>
      </c>
      <c r="P108" s="89" t="str">
        <f t="shared" si="33"/>
        <v/>
      </c>
      <c r="Q108" s="89">
        <f t="shared" si="34"/>
        <v>88.235294117647058</v>
      </c>
      <c r="R108" s="85" t="str">
        <f t="shared" si="35"/>
        <v/>
      </c>
      <c r="S108" s="41" t="str">
        <f t="shared" si="36"/>
        <v/>
      </c>
      <c r="T108" s="166">
        <f>IF(L108="","",VLOOKUP(L108,classifications!C:K,9,FALSE))</f>
        <v>0</v>
      </c>
      <c r="U108" s="167" t="str">
        <f t="shared" si="37"/>
        <v/>
      </c>
      <c r="V108" s="173" t="str">
        <f>IF(U108="","",IF($I$8="A",(RANK(U108,U$11:U$333)+COUNTIF(U$11:U108,U108)-1),(RANK(U108,U$11:U$333,1)+COUNTIF(U$11:U108,U108)-1)))</f>
        <v/>
      </c>
      <c r="W108" s="174"/>
      <c r="X108" s="5" t="str">
        <f>IF(L108="","",VLOOKUP($L108,classifications!$C:$J,6,FALSE))</f>
        <v xml:space="preserve">Predominantly Rural </v>
      </c>
      <c r="Y108">
        <f t="shared" si="38"/>
        <v>88.235294117647058</v>
      </c>
      <c r="Z108" s="39">
        <f>IF(Y108="","",IF(I$8="A",(RANK(Y108,Y$11:Y$333,1)+COUNTIF(Y$11:Y108,Y108)-1),(RANK(Y108,Y$11:Y$333)+COUNTIF(Y$11:Y108,Y108)-1)))</f>
        <v>35</v>
      </c>
      <c r="AA108" s="177" t="str">
        <f>IF(L108="","",VLOOKUP($L108,classifications!C:I,7,FALSE))</f>
        <v>Predominantly Rural</v>
      </c>
      <c r="AB108" s="173">
        <f t="shared" si="39"/>
        <v>88.235294117647058</v>
      </c>
      <c r="AC108" s="173">
        <f>IF(AB108="","",IF($I$8="A",(RANK(AB108,AB$11:AB$333)+COUNTIF(AB$11:AB108,AB108)-1),(RANK(AB108,AB$11:AB$333,1)+COUNTIF(AB$11:AB108,AB108)-1)))</f>
        <v>24</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Kent</v>
      </c>
      <c r="AJ108" s="42" t="str">
        <f t="shared" si="41"/>
        <v/>
      </c>
      <c r="AK108" s="39" t="str">
        <f>IF(AJ108="","",IF(I$8="A",(RANK(AJ108,AJ$11:AJ$333,1)+COUNTIF(AJ$11:AJ108,AJ108)-1),(RANK(AJ108,AJ$11:AJ$333)+COUNTIF(AJ$11:AJ108,AJ108)-1)))</f>
        <v/>
      </c>
      <c r="AL108" s="3" t="str">
        <f t="shared" si="53"/>
        <v/>
      </c>
      <c r="AM108" t="str">
        <f t="shared" si="47"/>
        <v/>
      </c>
      <c r="AN108" t="str">
        <f t="shared" si="48"/>
        <v/>
      </c>
      <c r="AP108" s="5" t="str">
        <f>IF(L108="","",VLOOKUP($L108,classifications!$C:$E,3,FALSE))</f>
        <v>South East</v>
      </c>
      <c r="AQ108" s="42" t="str">
        <f t="shared" si="42"/>
        <v/>
      </c>
      <c r="AR108" s="39" t="str">
        <f>IF(AQ108="","",IF(I$8="A",(RANK(AQ108,AQ$11:AQ$333,1)+COUNTIF(AQ$11:AQ108,AQ108)-1),(RANK(AQ108,AQ$11:AQ$333)+COUNTIF(AQ$11:AQ108,AQ108)-1)))</f>
        <v/>
      </c>
      <c r="AS108" s="3" t="str">
        <f t="shared" si="54"/>
        <v/>
      </c>
      <c r="AT108" s="39" t="str">
        <f t="shared" si="49"/>
        <v/>
      </c>
      <c r="AU108" s="42" t="str">
        <f t="shared" si="50"/>
        <v/>
      </c>
      <c r="AX108">
        <f>HLOOKUP($AX$9&amp;$AX$10,Data!$A$1:$ZT$1975,(MATCH($C108,Data!$A$1:$A$1975,0)),FALSE)</f>
        <v>90.909090909090907</v>
      </c>
    </row>
    <row r="109" spans="1:50">
      <c r="A109" s="55" t="str">
        <f>$D$1&amp;99</f>
        <v>SD99</v>
      </c>
      <c r="B109" s="56">
        <f>IF(ISERROR(VLOOKUP(A109,classifications!A:C,3,FALSE)),0,VLOOKUP(A109,classifications!A:C,3,FALSE))</f>
        <v>0</v>
      </c>
      <c r="C109" t="s">
        <v>890</v>
      </c>
      <c r="D109" t="str">
        <f>VLOOKUP($C109,classifications!$C:$J,4,FALSE)</f>
        <v>SD</v>
      </c>
      <c r="E109">
        <f>VLOOKUP(C109,classifications!C:K,9,FALSE)</f>
        <v>0</v>
      </c>
      <c r="F109">
        <f t="shared" si="43"/>
        <v>100</v>
      </c>
      <c r="G109" s="15"/>
      <c r="H109" s="41">
        <f t="shared" si="44"/>
        <v>100</v>
      </c>
      <c r="I109" s="73">
        <f>IF(H109="","",IF($I$8="A",(RANK(H109,H$11:H$333,1)+COUNTIF(H$11:H109,H109)-1),(RANK(H109,H$11:H$333)+COUNTIF(H$11:H109,H109)-1)))</f>
        <v>26</v>
      </c>
      <c r="J109" s="40"/>
      <c r="K109" s="35">
        <f t="shared" si="51"/>
        <v>99</v>
      </c>
      <c r="L109" t="str">
        <f t="shared" si="45"/>
        <v>Ashford</v>
      </c>
      <c r="M109" s="109">
        <f t="shared" si="46"/>
        <v>87.5</v>
      </c>
      <c r="N109" s="104">
        <f t="shared" si="31"/>
        <v>87.5</v>
      </c>
      <c r="O109" s="89" t="str">
        <f t="shared" si="32"/>
        <v/>
      </c>
      <c r="P109" s="89" t="str">
        <f t="shared" si="33"/>
        <v/>
      </c>
      <c r="Q109" s="89">
        <f t="shared" si="34"/>
        <v>87.5</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Urban with Significant Rural</v>
      </c>
      <c r="Y109" t="str">
        <f t="shared" si="38"/>
        <v/>
      </c>
      <c r="Z109" s="39" t="str">
        <f>IF(Y109="","",IF(I$8="A",(RANK(Y109,Y$11:Y$333,1)+COUNTIF(Y$11:Y109,Y109)-1),(RANK(Y109,Y$11:Y$333)+COUNTIF(Y$11:Y109,Y109)-1)))</f>
        <v/>
      </c>
      <c r="AA109" s="177" t="str">
        <f>IF(L109="","",VLOOKUP($L109,classifications!C:I,7,FALSE))</f>
        <v>Urban with Significant Rural</v>
      </c>
      <c r="AB109" s="173" t="str">
        <f t="shared" si="39"/>
        <v/>
      </c>
      <c r="AC109" s="173" t="str">
        <f>IF(AB109="","",IF($I$8="A",(RANK(AB109,AB$11:AB$333)+COUNTIF(AB$11:AB109,AB109)-1),(RANK(AB109,AB$11:AB$333,1)+COUNTIF(AB$11:AB109,AB109)-1)))</f>
        <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Kent</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South East</v>
      </c>
      <c r="AQ109" s="42" t="str">
        <f t="shared" si="42"/>
        <v/>
      </c>
      <c r="AR109" s="39" t="str">
        <f>IF(AQ109="","",IF(I$8="A",(RANK(AQ109,AQ$11:AQ$333,1)+COUNTIF(AQ$11:AQ109,AQ109)-1),(RANK(AQ109,AQ$11:AQ$333)+COUNTIF(AQ$11:AQ109,AQ109)-1)))</f>
        <v/>
      </c>
      <c r="AS109" s="3" t="str">
        <f t="shared" si="54"/>
        <v/>
      </c>
      <c r="AT109" s="39" t="str">
        <f t="shared" si="49"/>
        <v/>
      </c>
      <c r="AU109" s="42" t="str">
        <f t="shared" si="50"/>
        <v/>
      </c>
      <c r="AX109">
        <f>HLOOKUP($AX$9&amp;$AX$10,Data!$A$1:$ZT$1975,(MATCH($C109,Data!$A$1:$A$1975,0)),FALSE)</f>
        <v>100</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100</v>
      </c>
      <c r="G110" s="15"/>
      <c r="H110" s="41">
        <f t="shared" si="44"/>
        <v>100</v>
      </c>
      <c r="I110" s="73">
        <f>IF(H110="","",IF($I$8="A",(RANK(H110,H$11:H$333,1)+COUNTIF(H$11:H110,H110)-1),(RANK(H110,H$11:H$333)+COUNTIF(H$11:H110,H110)-1)))</f>
        <v>27</v>
      </c>
      <c r="J110" s="40"/>
      <c r="K110" s="35">
        <f t="shared" si="51"/>
        <v>100</v>
      </c>
      <c r="L110" t="str">
        <f t="shared" si="45"/>
        <v>East Suffolk</v>
      </c>
      <c r="M110" s="109">
        <f t="shared" si="46"/>
        <v>87.5</v>
      </c>
      <c r="N110" s="104">
        <f t="shared" si="31"/>
        <v>87.5</v>
      </c>
      <c r="O110" s="89" t="str">
        <f t="shared" si="32"/>
        <v/>
      </c>
      <c r="P110" s="89" t="str">
        <f t="shared" si="33"/>
        <v/>
      </c>
      <c r="Q110" s="89">
        <f t="shared" si="34"/>
        <v>87.5</v>
      </c>
      <c r="R110" s="85" t="str">
        <f t="shared" si="35"/>
        <v/>
      </c>
      <c r="S110" s="41" t="str">
        <f t="shared" si="36"/>
        <v/>
      </c>
      <c r="T110" s="166" t="str">
        <f>IF(L110="","",VLOOKUP(L110,classifications!C:K,9,FALSE))</f>
        <v>Sparse</v>
      </c>
      <c r="U110" s="167">
        <f t="shared" si="37"/>
        <v>87.5</v>
      </c>
      <c r="V110" s="173">
        <f>IF(U110="","",IF($I$8="A",(RANK(U110,U$11:U$333)+COUNTIF(U$11:U110,U110)-1),(RANK(U110,U$11:U$333,1)+COUNTIF(U$11:U110,U110)-1)))</f>
        <v>17</v>
      </c>
      <c r="W110" s="174"/>
      <c r="X110" s="5" t="str">
        <f>IF(L110="","",VLOOKUP($L110,classifications!$C:$J,6,FALSE))</f>
        <v xml:space="preserve">Predominantly Rural </v>
      </c>
      <c r="Y110">
        <f t="shared" si="38"/>
        <v>87.5</v>
      </c>
      <c r="Z110" s="39">
        <f>IF(Y110="","",IF(I$8="A",(RANK(Y110,Y$11:Y$333,1)+COUNTIF(Y$11:Y110,Y110)-1),(RANK(Y110,Y$11:Y$333)+COUNTIF(Y$11:Y110,Y110)-1)))</f>
        <v>36</v>
      </c>
      <c r="AA110" s="177" t="str">
        <f>IF(L110="","",VLOOKUP($L110,classifications!C:I,7,FALSE))</f>
        <v xml:space="preserve">Predominantly Rural </v>
      </c>
      <c r="AB110" s="173" t="str">
        <f t="shared" si="39"/>
        <v/>
      </c>
      <c r="AC110" s="173" t="str">
        <f>IF(AB110="","",IF($I$8="A",(RANK(AB110,AB$11:AB$333)+COUNTIF(AB$11:AB110,AB110)-1),(RANK(AB110,AB$11:AB$333,1)+COUNTIF(AB$11:AB110,AB110)-1)))</f>
        <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Suffolk</v>
      </c>
      <c r="AJ110" s="42">
        <f t="shared" si="41"/>
        <v>87.5</v>
      </c>
      <c r="AK110" s="39">
        <f>IF(AJ110="","",IF(I$8="A",(RANK(AJ110,AJ$11:AJ$333,1)+COUNTIF(AJ$11:AJ110,AJ110)-1),(RANK(AJ110,AJ$11:AJ$333)+COUNTIF(AJ$11:AJ110,AJ110)-1)))</f>
        <v>3</v>
      </c>
      <c r="AL110" s="3" t="str">
        <f t="shared" si="53"/>
        <v/>
      </c>
      <c r="AM110" t="str">
        <f t="shared" si="47"/>
        <v/>
      </c>
      <c r="AN110" t="str">
        <f t="shared" si="48"/>
        <v/>
      </c>
      <c r="AP110" s="5" t="str">
        <f>IF(L110="","",VLOOKUP($L110,classifications!$C:$E,3,FALSE))</f>
        <v>East of England</v>
      </c>
      <c r="AQ110" s="42">
        <f t="shared" si="42"/>
        <v>87.5</v>
      </c>
      <c r="AR110" s="39">
        <f>IF(AQ110="","",IF(I$8="A",(RANK(AQ110,AQ$11:AQ$333,1)+COUNTIF(AQ$11:AQ110,AQ110)-1),(RANK(AQ110,AQ$11:AQ$333)+COUNTIF(AQ$11:AQ110,AQ110)-1)))</f>
        <v>25</v>
      </c>
      <c r="AS110" s="3" t="str">
        <f t="shared" si="54"/>
        <v/>
      </c>
      <c r="AT110" s="39" t="str">
        <f t="shared" si="49"/>
        <v/>
      </c>
      <c r="AU110" s="42" t="str">
        <f t="shared" si="50"/>
        <v/>
      </c>
      <c r="AX110">
        <f>HLOOKUP($AX$9&amp;$AX$10,Data!$A$1:$ZT$1975,(MATCH($C110,Data!$A$1:$A$1975,0)),FALSE)</f>
        <v>100</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80</v>
      </c>
      <c r="G111" s="15"/>
      <c r="H111" s="41">
        <f t="shared" si="44"/>
        <v>80</v>
      </c>
      <c r="I111" s="73">
        <f>IF(H111="","",IF($I$8="A",(RANK(H111,H$11:H$333,1)+COUNTIF(H$11:H111,H111)-1),(RANK(H111,H$11:H$333)+COUNTIF(H$11:H111,H111)-1)))</f>
        <v>123</v>
      </c>
      <c r="J111" s="40"/>
      <c r="K111" s="35">
        <f t="shared" si="51"/>
        <v>101</v>
      </c>
      <c r="L111" t="str">
        <f t="shared" si="45"/>
        <v>St Albans</v>
      </c>
      <c r="M111" s="109">
        <f t="shared" si="46"/>
        <v>87.5</v>
      </c>
      <c r="N111" s="104">
        <f t="shared" si="31"/>
        <v>87.5</v>
      </c>
      <c r="O111" s="89" t="str">
        <f t="shared" si="32"/>
        <v/>
      </c>
      <c r="P111" s="89" t="str">
        <f t="shared" si="33"/>
        <v/>
      </c>
      <c r="Q111" s="89">
        <f t="shared" si="34"/>
        <v>87.5</v>
      </c>
      <c r="R111" s="85" t="str">
        <f t="shared" si="35"/>
        <v/>
      </c>
      <c r="S111" s="41" t="str">
        <f t="shared" si="36"/>
        <v/>
      </c>
      <c r="T111" s="166">
        <f>IF(L111="","",VLOOKUP(L111,classifications!C:K,9,FALSE))</f>
        <v>0</v>
      </c>
      <c r="U111" s="167" t="str">
        <f t="shared" si="37"/>
        <v/>
      </c>
      <c r="V111" s="173" t="str">
        <f>IF(U111="","",IF($I$8="A",(RANK(U111,U$11:U$333)+COUNTIF(U$11:U111,U111)-1),(RANK(U111,U$11:U$333,1)+COUNTIF(U$11:U111,U111)-1)))</f>
        <v/>
      </c>
      <c r="W111" s="174"/>
      <c r="X111" s="5" t="str">
        <f>IF(L111="","",VLOOKUP($L111,classifications!$C:$J,6,FALSE))</f>
        <v>Predominantly Urban</v>
      </c>
      <c r="Y111" t="str">
        <f t="shared" si="38"/>
        <v/>
      </c>
      <c r="Z111" s="39" t="str">
        <f>IF(Y111="","",IF(I$8="A",(RANK(Y111,Y$11:Y$333,1)+COUNTIF(Y$11:Y111,Y111)-1),(RANK(Y111,Y$11:Y$333)+COUNTIF(Y$11:Y111,Y111)-1)))</f>
        <v/>
      </c>
      <c r="AA111" s="177" t="str">
        <f>IF(L111="","",VLOOKUP($L111,classifications!C:I,7,FALSE))</f>
        <v>Predominantly Urban</v>
      </c>
      <c r="AB111" s="173" t="str">
        <f t="shared" si="39"/>
        <v/>
      </c>
      <c r="AC111" s="173" t="str">
        <f>IF(AB111="","",IF($I$8="A",(RANK(AB111,AB$11:AB$333)+COUNTIF(AB$11:AB111,AB111)-1),(RANK(AB111,AB$11:AB$333,1)+COUNTIF(AB$11:AB111,AB111)-1)))</f>
        <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Hertfordshire</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East of England</v>
      </c>
      <c r="AQ111" s="42">
        <f t="shared" si="42"/>
        <v>87.5</v>
      </c>
      <c r="AR111" s="39">
        <f>IF(AQ111="","",IF(I$8="A",(RANK(AQ111,AQ$11:AQ$333,1)+COUNTIF(AQ$11:AQ111,AQ111)-1),(RANK(AQ111,AQ$11:AQ$333)+COUNTIF(AQ$11:AQ111,AQ111)-1)))</f>
        <v>26</v>
      </c>
      <c r="AS111" s="3" t="str">
        <f t="shared" si="54"/>
        <v/>
      </c>
      <c r="AT111" s="39" t="str">
        <f t="shared" si="49"/>
        <v/>
      </c>
      <c r="AU111" s="42" t="str">
        <f t="shared" si="50"/>
        <v/>
      </c>
      <c r="AX111">
        <f>HLOOKUP($AX$9&amp;$AX$10,Data!$A$1:$ZT$1975,(MATCH($C111,Data!$A$1:$A$1975,0)),FALSE)</f>
        <v>80</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f t="shared" si="51"/>
        <v>102</v>
      </c>
      <c r="L112" t="str">
        <f t="shared" si="45"/>
        <v>Stroud</v>
      </c>
      <c r="M112" s="109">
        <f t="shared" si="46"/>
        <v>87.5</v>
      </c>
      <c r="N112" s="104">
        <f t="shared" si="31"/>
        <v>87.5</v>
      </c>
      <c r="O112" s="89" t="str">
        <f t="shared" si="32"/>
        <v/>
      </c>
      <c r="P112" s="89" t="str">
        <f t="shared" si="33"/>
        <v/>
      </c>
      <c r="Q112" s="89">
        <f t="shared" si="34"/>
        <v>87.5</v>
      </c>
      <c r="R112" s="85" t="str">
        <f t="shared" si="35"/>
        <v/>
      </c>
      <c r="S112" s="41" t="str">
        <f t="shared" si="36"/>
        <v/>
      </c>
      <c r="T112" s="166" t="str">
        <f>IF(L112="","",VLOOKUP(L112,classifications!C:K,9,FALSE))</f>
        <v>Sparse</v>
      </c>
      <c r="U112" s="167">
        <f t="shared" si="37"/>
        <v>87.5</v>
      </c>
      <c r="V112" s="173">
        <f>IF(U112="","",IF($I$8="A",(RANK(U112,U$11:U$333)+COUNTIF(U$11:U112,U112)-1),(RANK(U112,U$11:U$333,1)+COUNTIF(U$11:U112,U112)-1)))</f>
        <v>18</v>
      </c>
      <c r="W112" s="174"/>
      <c r="X112" s="5" t="str">
        <f>IF(L112="","",VLOOKUP($L112,classifications!$C:$J,6,FALSE))</f>
        <v>Urban with Significant Rural</v>
      </c>
      <c r="Y112" t="str">
        <f t="shared" si="38"/>
        <v/>
      </c>
      <c r="Z112" s="39" t="str">
        <f>IF(Y112="","",IF(I$8="A",(RANK(Y112,Y$11:Y$333,1)+COUNTIF(Y$11:Y112,Y112)-1),(RANK(Y112,Y$11:Y$333)+COUNTIF(Y$11:Y112,Y112)-1)))</f>
        <v/>
      </c>
      <c r="AA112" s="177" t="str">
        <f>IF(L112="","",VLOOKUP($L112,classifications!C:I,7,FALSE))</f>
        <v>Urban with Significant Rural</v>
      </c>
      <c r="AB112" s="173" t="str">
        <f t="shared" si="39"/>
        <v/>
      </c>
      <c r="AC112" s="173" t="str">
        <f>IF(AB112="","",IF($I$8="A",(RANK(AB112,AB$11:AB$333)+COUNTIF(AB$11:AB112,AB112)-1),(RANK(AB112,AB$11:AB$333,1)+COUNTIF(AB$11:AB112,AB112)-1)))</f>
        <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Gloucestershire</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South West</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f t="shared" si="44"/>
        <v>100</v>
      </c>
      <c r="I113" s="73">
        <f>IF(H113="","",IF($I$8="A",(RANK(H113,H$11:H$333,1)+COUNTIF(H$11:H113,H113)-1),(RANK(H113,H$11:H$333)+COUNTIF(H$11:H113,H113)-1)))</f>
        <v>28</v>
      </c>
      <c r="J113" s="40"/>
      <c r="K113" s="35">
        <f t="shared" si="51"/>
        <v>103</v>
      </c>
      <c r="L113" t="str">
        <f t="shared" si="45"/>
        <v>Vale of White Horse</v>
      </c>
      <c r="M113" s="109">
        <f t="shared" si="46"/>
        <v>87.5</v>
      </c>
      <c r="N113" s="104">
        <f t="shared" si="31"/>
        <v>87.5</v>
      </c>
      <c r="O113" s="89" t="str">
        <f t="shared" si="32"/>
        <v/>
      </c>
      <c r="P113" s="89" t="str">
        <f t="shared" si="33"/>
        <v/>
      </c>
      <c r="Q113" s="89">
        <f t="shared" si="34"/>
        <v>87.5</v>
      </c>
      <c r="R113" s="85" t="str">
        <f t="shared" si="35"/>
        <v/>
      </c>
      <c r="S113" s="41" t="str">
        <f t="shared" si="36"/>
        <v/>
      </c>
      <c r="T113" s="166" t="str">
        <f>IF(L113="","",VLOOKUP(L113,classifications!C:K,9,FALSE))</f>
        <v>Sparse</v>
      </c>
      <c r="U113" s="167">
        <f t="shared" si="37"/>
        <v>87.5</v>
      </c>
      <c r="V113" s="173">
        <f>IF(U113="","",IF($I$8="A",(RANK(U113,U$11:U$333)+COUNTIF(U$11:U113,U113)-1),(RANK(U113,U$11:U$333,1)+COUNTIF(U$11:U113,U113)-1)))</f>
        <v>19</v>
      </c>
      <c r="W113" s="174"/>
      <c r="X113" s="5" t="str">
        <f>IF(L113="","",VLOOKUP($L113,classifications!$C:$J,6,FALSE))</f>
        <v xml:space="preserve">Predominantly Rural </v>
      </c>
      <c r="Y113">
        <f t="shared" si="38"/>
        <v>87.5</v>
      </c>
      <c r="Z113" s="39">
        <f>IF(Y113="","",IF(I$8="A",(RANK(Y113,Y$11:Y$333,1)+COUNTIF(Y$11:Y113,Y113)-1),(RANK(Y113,Y$11:Y$333)+COUNTIF(Y$11:Y113,Y113)-1)))</f>
        <v>37</v>
      </c>
      <c r="AA113" s="177" t="str">
        <f>IF(L113="","",VLOOKUP($L113,classifications!C:I,7,FALSE))</f>
        <v>Predominantly Rural</v>
      </c>
      <c r="AB113" s="173">
        <f t="shared" si="39"/>
        <v>87.5</v>
      </c>
      <c r="AC113" s="173">
        <f>IF(AB113="","",IF($I$8="A",(RANK(AB113,AB$11:AB$333)+COUNTIF(AB$11:AB113,AB113)-1),(RANK(AB113,AB$11:AB$333,1)+COUNTIF(AB$11:AB113,AB113)-1)))</f>
        <v>23</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Oxfordshire</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South East</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100</v>
      </c>
      <c r="G114" s="15"/>
      <c r="H114" s="41">
        <f t="shared" si="44"/>
        <v>100</v>
      </c>
      <c r="I114" s="73">
        <f>IF(H114="","",IF($I$8="A",(RANK(H114,H$11:H$333,1)+COUNTIF(H$11:H114,H114)-1),(RANK(H114,H$11:H$333)+COUNTIF(H$11:H114,H114)-1)))</f>
        <v>29</v>
      </c>
      <c r="J114" s="40"/>
      <c r="K114" s="35">
        <f t="shared" si="51"/>
        <v>104</v>
      </c>
      <c r="L114" t="str">
        <f t="shared" si="45"/>
        <v>West Oxfordshire</v>
      </c>
      <c r="M114" s="109">
        <f t="shared" si="46"/>
        <v>86.666666666666671</v>
      </c>
      <c r="N114" s="104">
        <f t="shared" si="31"/>
        <v>86.666666666666671</v>
      </c>
      <c r="O114" s="89" t="str">
        <f t="shared" si="32"/>
        <v/>
      </c>
      <c r="P114" s="89" t="str">
        <f t="shared" si="33"/>
        <v/>
      </c>
      <c r="Q114" s="89">
        <f t="shared" si="34"/>
        <v>86.666666666666671</v>
      </c>
      <c r="R114" s="85" t="str">
        <f t="shared" si="35"/>
        <v/>
      </c>
      <c r="S114" s="41" t="str">
        <f t="shared" si="36"/>
        <v/>
      </c>
      <c r="T114" s="166" t="str">
        <f>IF(L114="","",VLOOKUP(L114,classifications!C:K,9,FALSE))</f>
        <v>Sparse</v>
      </c>
      <c r="U114" s="167">
        <f t="shared" si="37"/>
        <v>86.666666666666671</v>
      </c>
      <c r="V114" s="173">
        <f>IF(U114="","",IF($I$8="A",(RANK(U114,U$11:U$333)+COUNTIF(U$11:U114,U114)-1),(RANK(U114,U$11:U$333,1)+COUNTIF(U$11:U114,U114)-1)))</f>
        <v>16</v>
      </c>
      <c r="W114" s="174"/>
      <c r="X114" s="5" t="str">
        <f>IF(L114="","",VLOOKUP($L114,classifications!$C:$J,6,FALSE))</f>
        <v xml:space="preserve">Predominantly Rural </v>
      </c>
      <c r="Y114">
        <f t="shared" si="38"/>
        <v>86.666666666666671</v>
      </c>
      <c r="Z114" s="39">
        <f>IF(Y114="","",IF(I$8="A",(RANK(Y114,Y$11:Y$333,1)+COUNTIF(Y$11:Y114,Y114)-1),(RANK(Y114,Y$11:Y$333)+COUNTIF(Y$11:Y114,Y114)-1)))</f>
        <v>38</v>
      </c>
      <c r="AA114" s="177" t="str">
        <f>IF(L114="","",VLOOKUP($L114,classifications!C:I,7,FALSE))</f>
        <v>Predominantly Rural</v>
      </c>
      <c r="AB114" s="173">
        <f t="shared" si="39"/>
        <v>86.666666666666671</v>
      </c>
      <c r="AC114" s="173">
        <f>IF(AB114="","",IF($I$8="A",(RANK(AB114,AB$11:AB$333)+COUNTIF(AB$11:AB114,AB114)-1),(RANK(AB114,AB$11:AB$333,1)+COUNTIF(AB$11:AB114,AB114)-1)))</f>
        <v>22</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Oxfordshire</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South East</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100</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Bassetlaw</v>
      </c>
      <c r="M115" s="109">
        <f t="shared" si="46"/>
        <v>85.714285714285708</v>
      </c>
      <c r="N115" s="104">
        <f t="shared" si="31"/>
        <v>85.714285714285708</v>
      </c>
      <c r="O115" s="89" t="str">
        <f t="shared" si="32"/>
        <v/>
      </c>
      <c r="P115" s="89" t="str">
        <f t="shared" si="33"/>
        <v/>
      </c>
      <c r="Q115" s="89">
        <f t="shared" si="34"/>
        <v>85.714285714285708</v>
      </c>
      <c r="R115" s="85" t="str">
        <f t="shared" si="35"/>
        <v/>
      </c>
      <c r="S115" s="41" t="str">
        <f t="shared" si="36"/>
        <v/>
      </c>
      <c r="T115" s="166">
        <f>IF(L115="","",VLOOKUP(L115,classifications!C:K,9,FALSE))</f>
        <v>0</v>
      </c>
      <c r="U115" s="167" t="str">
        <f t="shared" si="37"/>
        <v/>
      </c>
      <c r="V115" s="173" t="str">
        <f>IF(U115="","",IF($I$8="A",(RANK(U115,U$11:U$333)+COUNTIF(U$11:U115,U115)-1),(RANK(U115,U$11:U$333,1)+COUNTIF(U$11:U115,U115)-1)))</f>
        <v/>
      </c>
      <c r="W115" s="174"/>
      <c r="X115" s="5" t="str">
        <f>IF(L115="","",VLOOKUP($L115,classifications!$C:$J,6,FALSE))</f>
        <v xml:space="preserve">Predominantly Rural </v>
      </c>
      <c r="Y115">
        <f t="shared" si="38"/>
        <v>85.714285714285708</v>
      </c>
      <c r="Z115" s="39">
        <f>IF(Y115="","",IF(I$8="A",(RANK(Y115,Y$11:Y$333,1)+COUNTIF(Y$11:Y115,Y115)-1),(RANK(Y115,Y$11:Y$333)+COUNTIF(Y$11:Y115,Y115)-1)))</f>
        <v>39</v>
      </c>
      <c r="AA115" s="177" t="str">
        <f>IF(L115="","",VLOOKUP($L115,classifications!C:I,7,FALSE))</f>
        <v>Predominantly Rural</v>
      </c>
      <c r="AB115" s="173">
        <f t="shared" si="39"/>
        <v>85.714285714285708</v>
      </c>
      <c r="AC115" s="173">
        <f>IF(AB115="","",IF($I$8="A",(RANK(AB115,AB$11:AB$333)+COUNTIF(AB$11:AB115,AB115)-1),(RANK(AB115,AB$11:AB$333,1)+COUNTIF(AB$11:AB115,AB115)-1)))</f>
        <v>20</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Nottinghamshire</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East Midlands</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0</v>
      </c>
      <c r="G116" s="15"/>
      <c r="H116" s="41">
        <f t="shared" si="44"/>
        <v>0</v>
      </c>
      <c r="I116" s="73">
        <f>IF(H116="","",IF($I$8="A",(RANK(H116,H$11:H$333,1)+COUNTIF(H$11:H116,H116)-1),(RANK(H116,H$11:H$333)+COUNTIF(H$11:H116,H116)-1)))</f>
        <v>161</v>
      </c>
      <c r="J116" s="40"/>
      <c r="K116" s="35">
        <f t="shared" si="51"/>
        <v>106</v>
      </c>
      <c r="L116" t="str">
        <f t="shared" si="45"/>
        <v>Bolsover</v>
      </c>
      <c r="M116" s="109">
        <f t="shared" si="46"/>
        <v>85.714285714285708</v>
      </c>
      <c r="N116" s="104">
        <f t="shared" si="31"/>
        <v>85.714285714285708</v>
      </c>
      <c r="O116" s="89" t="str">
        <f t="shared" si="32"/>
        <v/>
      </c>
      <c r="P116" s="89" t="str">
        <f t="shared" si="33"/>
        <v/>
      </c>
      <c r="Q116" s="89">
        <f t="shared" si="34"/>
        <v>85.714285714285708</v>
      </c>
      <c r="R116" s="85" t="str">
        <f t="shared" si="35"/>
        <v/>
      </c>
      <c r="S116" s="41" t="str">
        <f t="shared" si="36"/>
        <v/>
      </c>
      <c r="T116" s="166">
        <f>IF(L116="","",VLOOKUP(L116,classifications!C:K,9,FALSE))</f>
        <v>0</v>
      </c>
      <c r="U116" s="167" t="str">
        <f t="shared" si="37"/>
        <v/>
      </c>
      <c r="V116" s="173" t="str">
        <f>IF(U116="","",IF($I$8="A",(RANK(U116,U$11:U$333)+COUNTIF(U$11:U116,U116)-1),(RANK(U116,U$11:U$333,1)+COUNTIF(U$11:U116,U116)-1)))</f>
        <v/>
      </c>
      <c r="W116" s="174"/>
      <c r="X116" s="5" t="str">
        <f>IF(L116="","",VLOOKUP($L116,classifications!$C:$J,6,FALSE))</f>
        <v>Urban with Significant Rural</v>
      </c>
      <c r="Y116" t="str">
        <f t="shared" si="38"/>
        <v/>
      </c>
      <c r="Z116" s="39" t="str">
        <f>IF(Y116="","",IF(I$8="A",(RANK(Y116,Y$11:Y$333,1)+COUNTIF(Y$11:Y116,Y116)-1),(RANK(Y116,Y$11:Y$333)+COUNTIF(Y$11:Y116,Y116)-1)))</f>
        <v/>
      </c>
      <c r="AA116" s="177" t="str">
        <f>IF(L116="","",VLOOKUP($L116,classifications!C:I,7,FALSE))</f>
        <v>Urban with Significant Rural</v>
      </c>
      <c r="AB116" s="173" t="str">
        <f t="shared" si="39"/>
        <v/>
      </c>
      <c r="AC116" s="173" t="str">
        <f>IF(AB116="","",IF($I$8="A",(RANK(AB116,AB$11:AB$333)+COUNTIF(AB$11:AB116,AB116)-1),(RANK(AB116,AB$11:AB$333,1)+COUNTIF(AB$11:AB116,AB116)-1)))</f>
        <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Derbyshire</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East Midlands</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0</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83.333333333333343</v>
      </c>
      <c r="G117" s="15"/>
      <c r="H117" s="41">
        <f t="shared" si="44"/>
        <v>83.333333333333343</v>
      </c>
      <c r="I117" s="73">
        <f>IF(H117="","",IF($I$8="A",(RANK(H117,H$11:H$333,1)+COUNTIF(H$11:H117,H117)-1),(RANK(H117,H$11:H$333)+COUNTIF(H$11:H117,H117)-1)))</f>
        <v>116</v>
      </c>
      <c r="J117" s="40"/>
      <c r="K117" s="35">
        <f t="shared" si="51"/>
        <v>107</v>
      </c>
      <c r="L117" t="str">
        <f t="shared" si="45"/>
        <v>Guildford</v>
      </c>
      <c r="M117" s="109">
        <f t="shared" si="46"/>
        <v>85.714285714285708</v>
      </c>
      <c r="N117" s="104">
        <f t="shared" si="31"/>
        <v>85.714285714285708</v>
      </c>
      <c r="O117" s="89" t="str">
        <f t="shared" si="32"/>
        <v/>
      </c>
      <c r="P117" s="89" t="str">
        <f t="shared" si="33"/>
        <v/>
      </c>
      <c r="Q117" s="89">
        <f t="shared" si="34"/>
        <v>85.714285714285708</v>
      </c>
      <c r="R117" s="85" t="str">
        <f t="shared" si="35"/>
        <v/>
      </c>
      <c r="S117" s="41" t="str">
        <f t="shared" si="36"/>
        <v/>
      </c>
      <c r="T117" s="166">
        <f>IF(L117="","",VLOOKUP(L117,classifications!C:K,9,FALSE))</f>
        <v>0</v>
      </c>
      <c r="U117" s="167" t="str">
        <f t="shared" si="37"/>
        <v/>
      </c>
      <c r="V117" s="173" t="str">
        <f>IF(U117="","",IF($I$8="A",(RANK(U117,U$11:U$333)+COUNTIF(U$11:U117,U117)-1),(RANK(U117,U$11:U$333,1)+COUNTIF(U$11:U117,U117)-1)))</f>
        <v/>
      </c>
      <c r="W117" s="174"/>
      <c r="X117" s="5" t="str">
        <f>IF(L117="","",VLOOKUP($L117,classifications!$C:$J,6,FALSE))</f>
        <v>Predominantly Urban</v>
      </c>
      <c r="Y117" t="str">
        <f t="shared" si="38"/>
        <v/>
      </c>
      <c r="Z117" s="39" t="str">
        <f>IF(Y117="","",IF(I$8="A",(RANK(Y117,Y$11:Y$333,1)+COUNTIF(Y$11:Y117,Y117)-1),(RANK(Y117,Y$11:Y$333)+COUNTIF(Y$11:Y117,Y117)-1)))</f>
        <v/>
      </c>
      <c r="AA117" s="177" t="str">
        <f>IF(L117="","",VLOOKUP($L117,classifications!C:I,7,FALSE))</f>
        <v>Predominantly Urban</v>
      </c>
      <c r="AB117" s="173" t="str">
        <f t="shared" si="39"/>
        <v/>
      </c>
      <c r="AC117" s="173" t="str">
        <f>IF(AB117="","",IF($I$8="A",(RANK(AB117,AB$11:AB$333)+COUNTIF(AB$11:AB117,AB117)-1),(RANK(AB117,AB$11:AB$333,1)+COUNTIF(AB$11:AB117,AB117)-1)))</f>
        <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Surrey</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South East</v>
      </c>
      <c r="AQ117" s="42" t="str">
        <f t="shared" si="42"/>
        <v/>
      </c>
      <c r="AR117" s="39" t="str">
        <f>IF(AQ117="","",IF(I$8="A",(RANK(AQ117,AQ$11:AQ$333,1)+COUNTIF(AQ$11:AQ117,AQ117)-1),(RANK(AQ117,AQ$11:AQ$333)+COUNTIF(AQ$11:AQ117,AQ117)-1)))</f>
        <v/>
      </c>
      <c r="AS117" s="3" t="str">
        <f t="shared" si="54"/>
        <v/>
      </c>
      <c r="AT117" s="39" t="str">
        <f t="shared" si="49"/>
        <v/>
      </c>
      <c r="AU117" s="42" t="str">
        <f t="shared" si="50"/>
        <v/>
      </c>
      <c r="AX117">
        <f>HLOOKUP($AX$9&amp;$AX$10,Data!$A$1:$ZT$1975,(MATCH($C117,Data!$A$1:$A$1975,0)),FALSE)</f>
        <v>83.333333333333343</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f t="shared" si="44"/>
        <v>100</v>
      </c>
      <c r="I118" s="73">
        <f>IF(H118="","",IF($I$8="A",(RANK(H118,H$11:H$333,1)+COUNTIF(H$11:H118,H118)-1),(RANK(H118,H$11:H$333)+COUNTIF(H$11:H118,H118)-1)))</f>
        <v>30</v>
      </c>
      <c r="J118" s="40"/>
      <c r="K118" s="35">
        <f t="shared" si="51"/>
        <v>108</v>
      </c>
      <c r="L118" t="str">
        <f t="shared" si="45"/>
        <v>Tewkesbury</v>
      </c>
      <c r="M118" s="109">
        <f t="shared" si="46"/>
        <v>85.714285714285708</v>
      </c>
      <c r="N118" s="104">
        <f t="shared" si="31"/>
        <v>85.714285714285708</v>
      </c>
      <c r="O118" s="89" t="str">
        <f t="shared" si="32"/>
        <v/>
      </c>
      <c r="P118" s="89" t="str">
        <f t="shared" si="33"/>
        <v/>
      </c>
      <c r="Q118" s="89">
        <f t="shared" si="34"/>
        <v>85.714285714285708</v>
      </c>
      <c r="R118" s="85" t="str">
        <f t="shared" si="35"/>
        <v/>
      </c>
      <c r="S118" s="41" t="str">
        <f t="shared" si="36"/>
        <v/>
      </c>
      <c r="T118" s="166" t="str">
        <f>IF(L118="","",VLOOKUP(L118,classifications!C:K,9,FALSE))</f>
        <v>Sparse</v>
      </c>
      <c r="U118" s="167">
        <f t="shared" si="37"/>
        <v>85.714285714285708</v>
      </c>
      <c r="V118" s="173">
        <f>IF(U118="","",IF($I$8="A",(RANK(U118,U$11:U$333)+COUNTIF(U$11:U118,U118)-1),(RANK(U118,U$11:U$333,1)+COUNTIF(U$11:U118,U118)-1)))</f>
        <v>15</v>
      </c>
      <c r="W118" s="174"/>
      <c r="X118" s="5" t="str">
        <f>IF(L118="","",VLOOKUP($L118,classifications!$C:$J,6,FALSE))</f>
        <v xml:space="preserve">Predominantly Rural </v>
      </c>
      <c r="Y118">
        <f t="shared" si="38"/>
        <v>85.714285714285708</v>
      </c>
      <c r="Z118" s="39">
        <f>IF(Y118="","",IF(I$8="A",(RANK(Y118,Y$11:Y$333,1)+COUNTIF(Y$11:Y118,Y118)-1),(RANK(Y118,Y$11:Y$333)+COUNTIF(Y$11:Y118,Y118)-1)))</f>
        <v>40</v>
      </c>
      <c r="AA118" s="177" t="str">
        <f>IF(L118="","",VLOOKUP($L118,classifications!C:I,7,FALSE))</f>
        <v>Predominantly Rural</v>
      </c>
      <c r="AB118" s="173">
        <f t="shared" si="39"/>
        <v>85.714285714285708</v>
      </c>
      <c r="AC118" s="173">
        <f>IF(AB118="","",IF($I$8="A",(RANK(AB118,AB$11:AB$333)+COUNTIF(AB$11:AB118,AB118)-1),(RANK(AB118,AB$11:AB$333,1)+COUNTIF(AB$11:AB118,AB118)-1)))</f>
        <v>21</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Gloucestershire</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South West</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f t="shared" si="51"/>
        <v>109</v>
      </c>
      <c r="L119" t="str">
        <f t="shared" si="45"/>
        <v>Breckland</v>
      </c>
      <c r="M119" s="109">
        <f t="shared" si="46"/>
        <v>84.615384615384613</v>
      </c>
      <c r="N119" s="104">
        <f t="shared" si="31"/>
        <v>84.615384615384613</v>
      </c>
      <c r="O119" s="89" t="str">
        <f t="shared" si="32"/>
        <v/>
      </c>
      <c r="P119" s="89" t="str">
        <f t="shared" si="33"/>
        <v/>
      </c>
      <c r="Q119" s="89">
        <f t="shared" si="34"/>
        <v>84.615384615384613</v>
      </c>
      <c r="R119" s="85" t="str">
        <f t="shared" si="35"/>
        <v/>
      </c>
      <c r="S119" s="41" t="str">
        <f t="shared" si="36"/>
        <v/>
      </c>
      <c r="T119" s="166">
        <f>IF(L119="","",VLOOKUP(L119,classifications!C:K,9,FALSE))</f>
        <v>0</v>
      </c>
      <c r="U119" s="167" t="str">
        <f t="shared" si="37"/>
        <v/>
      </c>
      <c r="V119" s="173" t="str">
        <f>IF(U119="","",IF($I$8="A",(RANK(U119,U$11:U$333)+COUNTIF(U$11:U119,U119)-1),(RANK(U119,U$11:U$333,1)+COUNTIF(U$11:U119,U119)-1)))</f>
        <v/>
      </c>
      <c r="W119" s="174"/>
      <c r="X119" s="5" t="str">
        <f>IF(L119="","",VLOOKUP($L119,classifications!$C:$J,6,FALSE))</f>
        <v xml:space="preserve">Predominantly Rural </v>
      </c>
      <c r="Y119">
        <f t="shared" si="38"/>
        <v>84.615384615384613</v>
      </c>
      <c r="Z119" s="39">
        <f>IF(Y119="","",IF(I$8="A",(RANK(Y119,Y$11:Y$333,1)+COUNTIF(Y$11:Y119,Y119)-1),(RANK(Y119,Y$11:Y$333)+COUNTIF(Y$11:Y119,Y119)-1)))</f>
        <v>41</v>
      </c>
      <c r="AA119" s="177" t="str">
        <f>IF(L119="","",VLOOKUP($L119,classifications!C:I,7,FALSE))</f>
        <v>Predominantly Rural</v>
      </c>
      <c r="AB119" s="173">
        <f t="shared" si="39"/>
        <v>84.615384615384613</v>
      </c>
      <c r="AC119" s="173">
        <f>IF(AB119="","",IF($I$8="A",(RANK(AB119,AB$11:AB$333)+COUNTIF(AB$11:AB119,AB119)-1),(RANK(AB119,AB$11:AB$333,1)+COUNTIF(AB$11:AB119,AB119)-1)))</f>
        <v>18</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Norfolk</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East of England</v>
      </c>
      <c r="AQ119" s="42">
        <f t="shared" si="42"/>
        <v>84.615384615384613</v>
      </c>
      <c r="AR119" s="39">
        <f>IF(AQ119="","",IF(I$8="A",(RANK(AQ119,AQ$11:AQ$333,1)+COUNTIF(AQ$11:AQ119,AQ119)-1),(RANK(AQ119,AQ$11:AQ$333)+COUNTIF(AQ$11:AQ119,AQ119)-1)))</f>
        <v>27</v>
      </c>
      <c r="AS119" s="3" t="str">
        <f t="shared" si="54"/>
        <v/>
      </c>
      <c r="AT119" s="39" t="str">
        <f t="shared" si="49"/>
        <v/>
      </c>
      <c r="AU119" s="42" t="str">
        <f t="shared" si="50"/>
        <v/>
      </c>
      <c r="AX119">
        <f>HLOOKUP($AX$9&amp;$AX$10,Data!$A$1:$ZT$1975,(MATCH($C119,Data!$A$1:$A$1975,0)),FALSE)</f>
        <v>100</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85.714285714285708</v>
      </c>
      <c r="G120" s="15"/>
      <c r="H120" s="41">
        <f t="shared" si="44"/>
        <v>85.714285714285708</v>
      </c>
      <c r="I120" s="73">
        <f>IF(H120="","",IF($I$8="A",(RANK(H120,H$11:H$333,1)+COUNTIF(H$11:H120,H120)-1),(RANK(H120,H$11:H$333)+COUNTIF(H$11:H120,H120)-1)))</f>
        <v>107</v>
      </c>
      <c r="J120" s="40"/>
      <c r="K120" s="35">
        <f t="shared" si="51"/>
        <v>110</v>
      </c>
      <c r="L120" t="str">
        <f t="shared" si="45"/>
        <v>Newark &amp; Sherwood</v>
      </c>
      <c r="M120" s="109">
        <f t="shared" si="46"/>
        <v>84.615384615384613</v>
      </c>
      <c r="N120" s="104">
        <f t="shared" si="31"/>
        <v>84.615384615384613</v>
      </c>
      <c r="O120" s="89" t="str">
        <f t="shared" si="32"/>
        <v/>
      </c>
      <c r="P120" s="89" t="str">
        <f t="shared" si="33"/>
        <v/>
      </c>
      <c r="Q120" s="89">
        <f t="shared" si="34"/>
        <v>84.615384615384613</v>
      </c>
      <c r="R120" s="85" t="str">
        <f t="shared" si="35"/>
        <v/>
      </c>
      <c r="S120" s="41" t="str">
        <f t="shared" si="36"/>
        <v/>
      </c>
      <c r="T120" s="166">
        <f>IF(L120="","",VLOOKUP(L120,classifications!C:K,9,FALSE))</f>
        <v>0</v>
      </c>
      <c r="U120" s="167" t="str">
        <f t="shared" si="37"/>
        <v/>
      </c>
      <c r="V120" s="173" t="str">
        <f>IF(U120="","",IF($I$8="A",(RANK(U120,U$11:U$333)+COUNTIF(U$11:U120,U120)-1),(RANK(U120,U$11:U$333,1)+COUNTIF(U$11:U120,U120)-1)))</f>
        <v/>
      </c>
      <c r="W120" s="174"/>
      <c r="X120" s="5" t="str">
        <f>IF(L120="","",VLOOKUP($L120,classifications!$C:$J,6,FALSE))</f>
        <v xml:space="preserve">Predominantly Rural </v>
      </c>
      <c r="Y120">
        <f t="shared" si="38"/>
        <v>84.615384615384613</v>
      </c>
      <c r="Z120" s="39">
        <f>IF(Y120="","",IF(I$8="A",(RANK(Y120,Y$11:Y$333,1)+COUNTIF(Y$11:Y120,Y120)-1),(RANK(Y120,Y$11:Y$333)+COUNTIF(Y$11:Y120,Y120)-1)))</f>
        <v>42</v>
      </c>
      <c r="AA120" s="177" t="str">
        <f>IF(L120="","",VLOOKUP($L120,classifications!C:I,7,FALSE))</f>
        <v>Predominantly Rural</v>
      </c>
      <c r="AB120" s="173">
        <f t="shared" si="39"/>
        <v>84.615384615384613</v>
      </c>
      <c r="AC120" s="173">
        <f>IF(AB120="","",IF($I$8="A",(RANK(AB120,AB$11:AB$333)+COUNTIF(AB$11:AB120,AB120)-1),(RANK(AB120,AB$11:AB$333,1)+COUNTIF(AB$11:AB120,AB120)-1)))</f>
        <v>19</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Nottinghamshire</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East Midlands</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85.714285714285708</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100</v>
      </c>
      <c r="G121" s="15"/>
      <c r="H121" s="41" t="str">
        <f t="shared" si="44"/>
        <v/>
      </c>
      <c r="I121" s="73" t="str">
        <f>IF(H121="","",IF($I$8="A",(RANK(H121,H$11:H$333,1)+COUNTIF(H$11:H121,H121)-1),(RANK(H121,H$11:H$333)+COUNTIF(H$11:H121,H121)-1)))</f>
        <v/>
      </c>
      <c r="J121" s="40"/>
      <c r="K121" s="35">
        <f t="shared" si="51"/>
        <v>111</v>
      </c>
      <c r="L121" t="str">
        <f t="shared" si="45"/>
        <v>Stafford</v>
      </c>
      <c r="M121" s="109">
        <f t="shared" si="46"/>
        <v>84.615384615384613</v>
      </c>
      <c r="N121" s="104">
        <f t="shared" si="31"/>
        <v>84.615384615384613</v>
      </c>
      <c r="O121" s="89" t="str">
        <f t="shared" si="32"/>
        <v/>
      </c>
      <c r="P121" s="89" t="str">
        <f t="shared" si="33"/>
        <v/>
      </c>
      <c r="Q121" s="89">
        <f t="shared" si="34"/>
        <v>84.615384615384613</v>
      </c>
      <c r="R121" s="85" t="str">
        <f t="shared" si="35"/>
        <v/>
      </c>
      <c r="S121" s="41" t="str">
        <f t="shared" si="36"/>
        <v/>
      </c>
      <c r="T121" s="166" t="str">
        <f>IF(L121="","",VLOOKUP(L121,classifications!C:K,9,FALSE))</f>
        <v>Sparse</v>
      </c>
      <c r="U121" s="167">
        <f t="shared" si="37"/>
        <v>84.615384615384613</v>
      </c>
      <c r="V121" s="173">
        <f>IF(U121="","",IF($I$8="A",(RANK(U121,U$11:U$333)+COUNTIF(U$11:U121,U121)-1),(RANK(U121,U$11:U$333,1)+COUNTIF(U$11:U121,U121)-1)))</f>
        <v>14</v>
      </c>
      <c r="W121" s="174"/>
      <c r="X121" s="5" t="str">
        <f>IF(L121="","",VLOOKUP($L121,classifications!$C:$J,6,FALSE))</f>
        <v>Urban with Significant Rural</v>
      </c>
      <c r="Y121" t="str">
        <f t="shared" si="38"/>
        <v/>
      </c>
      <c r="Z121" s="39" t="str">
        <f>IF(Y121="","",IF(I$8="A",(RANK(Y121,Y$11:Y$333,1)+COUNTIF(Y$11:Y121,Y121)-1),(RANK(Y121,Y$11:Y$333)+COUNTIF(Y$11:Y121,Y121)-1)))</f>
        <v/>
      </c>
      <c r="AA121" s="177" t="str">
        <f>IF(L121="","",VLOOKUP($L121,classifications!C:I,7,FALSE))</f>
        <v>Urban with Significant Rural</v>
      </c>
      <c r="AB121" s="173" t="str">
        <f t="shared" si="39"/>
        <v/>
      </c>
      <c r="AC121" s="173" t="str">
        <f>IF(AB121="","",IF($I$8="A",(RANK(AB121,AB$11:AB$333)+COUNTIF(AB$11:AB121,AB121)-1),(RANK(AB121,AB$11:AB$333,1)+COUNTIF(AB$11:AB121,AB121)-1)))</f>
        <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Staffordshire</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West Midlands</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100</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100</v>
      </c>
      <c r="G122" s="15"/>
      <c r="H122" s="41" t="str">
        <f t="shared" si="44"/>
        <v/>
      </c>
      <c r="I122" s="73" t="str">
        <f>IF(H122="","",IF($I$8="A",(RANK(H122,H$11:H$333,1)+COUNTIF(H$11:H122,H122)-1),(RANK(H122,H$11:H$333)+COUNTIF(H$11:H122,H122)-1)))</f>
        <v/>
      </c>
      <c r="J122" s="40"/>
      <c r="K122" s="35">
        <f t="shared" si="51"/>
        <v>112</v>
      </c>
      <c r="L122" t="str">
        <f t="shared" si="45"/>
        <v>Arun</v>
      </c>
      <c r="M122" s="109">
        <f t="shared" si="46"/>
        <v>83.333333333333343</v>
      </c>
      <c r="N122" s="104">
        <f t="shared" ref="N122:N185" si="55">IF(L122="","",IF($H$8="%%",M122*100,M122))</f>
        <v>83.333333333333343</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83.333333333333343</v>
      </c>
      <c r="R122" s="85" t="str">
        <f t="shared" ref="R122:R185" si="59">IF(I$8="A",IF(N122&gt;$Q$10,N122,""),IF(N122&lt;$Q$10,N122,""))</f>
        <v/>
      </c>
      <c r="S122" s="41" t="str">
        <f t="shared" ref="S122:S185" si="60">IF(L122=D$3,"u","")</f>
        <v/>
      </c>
      <c r="T122" s="166">
        <f>IF(L122="","",VLOOKUP(L122,classifications!C:K,9,FALSE))</f>
        <v>0</v>
      </c>
      <c r="U122" s="167" t="str">
        <f t="shared" ref="U122:U185" si="61">IF(T122="Sparse",M122,"")</f>
        <v/>
      </c>
      <c r="V122" s="173" t="str">
        <f>IF(U122="","",IF($I$8="A",(RANK(U122,U$11:U$333)+COUNTIF(U$11:U122,U122)-1),(RANK(U122,U$11:U$333,1)+COUNTIF(U$11:U122,U122)-1)))</f>
        <v/>
      </c>
      <c r="W122" s="174"/>
      <c r="X122" s="5" t="str">
        <f>IF(L122="","",VLOOKUP($L122,classifications!$C:$J,6,FALSE))</f>
        <v>Predominantly Urban</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Predominantly Urban</v>
      </c>
      <c r="AB122" s="173" t="str">
        <f t="shared" ref="AB122:AB185" si="63">IF(AA122=$J$3,M122,"")</f>
        <v/>
      </c>
      <c r="AC122" s="173" t="str">
        <f>IF(AB122="","",IF($I$8="A",(RANK(AB122,AB$11:AB$333)+COUNTIF(AB$11:AB122,AB122)-1),(RANK(AB122,AB$11:AB$333,1)+COUNTIF(AB$11:AB122,AB122)-1)))</f>
        <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West Sussex</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South East</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100</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f t="shared" si="51"/>
        <v>113</v>
      </c>
      <c r="L123" t="str">
        <f t="shared" si="45"/>
        <v>Blaby</v>
      </c>
      <c r="M123" s="109">
        <f t="shared" si="46"/>
        <v>83.333333333333343</v>
      </c>
      <c r="N123" s="104">
        <f t="shared" si="55"/>
        <v>83.333333333333343</v>
      </c>
      <c r="O123" s="89" t="str">
        <f t="shared" si="56"/>
        <v/>
      </c>
      <c r="P123" s="89" t="str">
        <f t="shared" si="57"/>
        <v/>
      </c>
      <c r="Q123" s="89">
        <f t="shared" si="58"/>
        <v>83.333333333333343</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Predominantly Urban</v>
      </c>
      <c r="Y123" t="str">
        <f t="shared" si="62"/>
        <v/>
      </c>
      <c r="Z123" s="39" t="str">
        <f>IF(Y123="","",IF(I$8="A",(RANK(Y123,Y$11:Y$333,1)+COUNTIF(Y$11:Y123,Y123)-1),(RANK(Y123,Y$11:Y$333)+COUNTIF(Y$11:Y123,Y123)-1)))</f>
        <v/>
      </c>
      <c r="AA123" s="177" t="str">
        <f>IF(L123="","",VLOOKUP($L123,classifications!C:I,7,FALSE))</f>
        <v>Predominantly Urban</v>
      </c>
      <c r="AB123" s="173" t="str">
        <f t="shared" si="63"/>
        <v/>
      </c>
      <c r="AC123" s="173" t="str">
        <f>IF(AB123="","",IF($I$8="A",(RANK(AB123,AB$11:AB$333)+COUNTIF(AB$11:AB123,AB123)-1),(RANK(AB123,AB$11:AB$333,1)+COUNTIF(AB$11:AB123,AB123)-1)))</f>
        <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Leicestershire</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East Midlands</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Dacorum</v>
      </c>
      <c r="M124" s="109">
        <f t="shared" si="46"/>
        <v>83.333333333333343</v>
      </c>
      <c r="N124" s="104">
        <f t="shared" si="55"/>
        <v>83.333333333333343</v>
      </c>
      <c r="O124" s="89" t="str">
        <f t="shared" si="56"/>
        <v/>
      </c>
      <c r="P124" s="89" t="str">
        <f t="shared" si="57"/>
        <v/>
      </c>
      <c r="Q124" s="89">
        <f t="shared" si="58"/>
        <v>83.333333333333343</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Urban with Significant Rural</v>
      </c>
      <c r="Y124" t="str">
        <f t="shared" si="62"/>
        <v/>
      </c>
      <c r="Z124" s="39" t="str">
        <f>IF(Y124="","",IF(I$8="A",(RANK(Y124,Y$11:Y$333,1)+COUNTIF(Y$11:Y124,Y124)-1),(RANK(Y124,Y$11:Y$333)+COUNTIF(Y$11:Y124,Y124)-1)))</f>
        <v/>
      </c>
      <c r="AA124" s="177" t="str">
        <f>IF(L124="","",VLOOKUP($L124,classifications!C:I,7,FALSE))</f>
        <v>Urban with Significant Rural</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Hertfordshire</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East of England</v>
      </c>
      <c r="AQ124" s="42">
        <f t="shared" si="66"/>
        <v>83.333333333333343</v>
      </c>
      <c r="AR124" s="39">
        <f>IF(AQ124="","",IF(I$8="A",(RANK(AQ124,AQ$11:AQ$333,1)+COUNTIF(AQ$11:AQ124,AQ124)-1),(RANK(AQ124,AQ$11:AQ$333)+COUNTIF(AQ$11:AQ124,AQ124)-1)))</f>
        <v>28</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53.846153846153847</v>
      </c>
      <c r="G125" s="15"/>
      <c r="H125" s="41">
        <f t="shared" si="44"/>
        <v>53.846153846153847</v>
      </c>
      <c r="I125" s="73">
        <f>IF(H125="","",IF($I$8="A",(RANK(H125,H$11:H$333,1)+COUNTIF(H$11:H125,H125)-1),(RANK(H125,H$11:H$333)+COUNTIF(H$11:H125,H125)-1)))</f>
        <v>153</v>
      </c>
      <c r="J125" s="40"/>
      <c r="K125" s="35">
        <f t="shared" si="51"/>
        <v>115</v>
      </c>
      <c r="L125" t="str">
        <f t="shared" si="45"/>
        <v>Dover</v>
      </c>
      <c r="M125" s="109">
        <f t="shared" si="46"/>
        <v>83.333333333333343</v>
      </c>
      <c r="N125" s="104">
        <f t="shared" si="55"/>
        <v>83.333333333333343</v>
      </c>
      <c r="O125" s="89" t="str">
        <f t="shared" si="56"/>
        <v/>
      </c>
      <c r="P125" s="89" t="str">
        <f t="shared" si="57"/>
        <v/>
      </c>
      <c r="Q125" s="89">
        <f t="shared" si="58"/>
        <v>83.333333333333343</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Urban with Significant Rural</v>
      </c>
      <c r="Y125" t="str">
        <f t="shared" si="62"/>
        <v/>
      </c>
      <c r="Z125" s="39" t="str">
        <f>IF(Y125="","",IF(I$8="A",(RANK(Y125,Y$11:Y$333,1)+COUNTIF(Y$11:Y125,Y125)-1),(RANK(Y125,Y$11:Y$333)+COUNTIF(Y$11:Y125,Y125)-1)))</f>
        <v/>
      </c>
      <c r="AA125" s="177" t="str">
        <f>IF(L125="","",VLOOKUP($L125,classifications!C:I,7,FALSE))</f>
        <v>Urban with Significant Rural</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Kent</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South East</v>
      </c>
      <c r="AQ125" s="42" t="str">
        <f t="shared" si="66"/>
        <v/>
      </c>
      <c r="AR125" s="39" t="str">
        <f>IF(AQ125="","",IF(I$8="A",(RANK(AQ125,AQ$11:AQ$333,1)+COUNTIF(AQ$11:AQ125,AQ125)-1),(RANK(AQ125,AQ$11:AQ$333)+COUNTIF(AQ$11:AQ125,AQ125)-1)))</f>
        <v/>
      </c>
      <c r="AS125" s="3" t="str">
        <f t="shared" si="54"/>
        <v/>
      </c>
      <c r="AT125" s="39" t="str">
        <f t="shared" si="49"/>
        <v/>
      </c>
      <c r="AU125" s="42" t="str">
        <f t="shared" si="50"/>
        <v/>
      </c>
      <c r="AX125">
        <f>HLOOKUP($AX$9&amp;$AX$10,Data!$A$1:$ZT$1975,(MATCH($C125,Data!$A$1:$A$1975,0)),FALSE)</f>
        <v>53.846153846153847</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f t="shared" si="51"/>
        <v>116</v>
      </c>
      <c r="L126" t="str">
        <f t="shared" si="45"/>
        <v>Gravesham</v>
      </c>
      <c r="M126" s="109">
        <f t="shared" si="46"/>
        <v>83.333333333333343</v>
      </c>
      <c r="N126" s="104">
        <f t="shared" si="55"/>
        <v>83.333333333333343</v>
      </c>
      <c r="O126" s="89" t="str">
        <f t="shared" si="56"/>
        <v/>
      </c>
      <c r="P126" s="89" t="str">
        <f t="shared" si="57"/>
        <v/>
      </c>
      <c r="Q126" s="89">
        <f t="shared" si="58"/>
        <v>83.333333333333343</v>
      </c>
      <c r="R126" s="85" t="str">
        <f t="shared" si="59"/>
        <v/>
      </c>
      <c r="S126" s="41" t="str">
        <f t="shared" si="60"/>
        <v/>
      </c>
      <c r="T126" s="166">
        <f>IF(L126="","",VLOOKUP(L126,classifications!C:K,9,FALSE))</f>
        <v>0</v>
      </c>
      <c r="U126" s="167" t="str">
        <f t="shared" si="61"/>
        <v/>
      </c>
      <c r="V126" s="173" t="str">
        <f>IF(U126="","",IF($I$8="A",(RANK(U126,U$11:U$333)+COUNTIF(U$11:U126,U126)-1),(RANK(U126,U$11:U$333,1)+COUNTIF(U$11:U126,U126)-1)))</f>
        <v/>
      </c>
      <c r="W126" s="174"/>
      <c r="X126" s="5" t="str">
        <f>IF(L126="","",VLOOKUP($L126,classifications!$C:$J,6,FALSE))</f>
        <v>Predominantly Urban</v>
      </c>
      <c r="Y126" t="str">
        <f t="shared" si="62"/>
        <v/>
      </c>
      <c r="Z126" s="39" t="str">
        <f>IF(Y126="","",IF(I$8="A",(RANK(Y126,Y$11:Y$333,1)+COUNTIF(Y$11:Y126,Y126)-1),(RANK(Y126,Y$11:Y$333)+COUNTIF(Y$11:Y126,Y126)-1)))</f>
        <v/>
      </c>
      <c r="AA126" s="177" t="str">
        <f>IF(L126="","",VLOOKUP($L126,classifications!C:I,7,FALSE))</f>
        <v>Predominantly Urban</v>
      </c>
      <c r="AB126" s="173" t="str">
        <f t="shared" si="63"/>
        <v/>
      </c>
      <c r="AC126" s="173" t="str">
        <f>IF(AB126="","",IF($I$8="A",(RANK(AB126,AB$11:AB$333)+COUNTIF(AB$11:AB126,AB126)-1),(RANK(AB126,AB$11:AB$333,1)+COUNTIF(AB$11:AB126,AB126)-1)))</f>
        <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Kent</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South East</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66.666666666666657</v>
      </c>
      <c r="G127" s="15"/>
      <c r="H127" s="41">
        <f t="shared" si="44"/>
        <v>66.666666666666657</v>
      </c>
      <c r="I127" s="73">
        <f>IF(H127="","",IF($I$8="A",(RANK(H127,H$11:H$333,1)+COUNTIF(H$11:H127,H127)-1),(RANK(H127,H$11:H$333)+COUNTIF(H$11:H127,H127)-1)))</f>
        <v>142</v>
      </c>
      <c r="J127" s="40"/>
      <c r="K127" s="35">
        <f t="shared" si="51"/>
        <v>117</v>
      </c>
      <c r="L127" t="str">
        <f t="shared" si="45"/>
        <v>Maldon</v>
      </c>
      <c r="M127" s="109">
        <f t="shared" si="46"/>
        <v>83.333333333333343</v>
      </c>
      <c r="N127" s="104">
        <f t="shared" si="55"/>
        <v>83.333333333333343</v>
      </c>
      <c r="O127" s="89" t="str">
        <f t="shared" si="56"/>
        <v/>
      </c>
      <c r="P127" s="89" t="str">
        <f t="shared" si="57"/>
        <v/>
      </c>
      <c r="Q127" s="89">
        <f t="shared" si="58"/>
        <v>83.333333333333343</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 xml:space="preserve">Predominantly Rural </v>
      </c>
      <c r="Y127">
        <f t="shared" si="62"/>
        <v>83.333333333333343</v>
      </c>
      <c r="Z127" s="39">
        <f>IF(Y127="","",IF(I$8="A",(RANK(Y127,Y$11:Y$333,1)+COUNTIF(Y$11:Y127,Y127)-1),(RANK(Y127,Y$11:Y$333)+COUNTIF(Y$11:Y127,Y127)-1)))</f>
        <v>43</v>
      </c>
      <c r="AA127" s="177" t="str">
        <f>IF(L127="","",VLOOKUP($L127,classifications!C:I,7,FALSE))</f>
        <v>Predominantly Rural</v>
      </c>
      <c r="AB127" s="173">
        <f t="shared" si="63"/>
        <v>83.333333333333343</v>
      </c>
      <c r="AC127" s="173">
        <f>IF(AB127="","",IF($I$8="A",(RANK(AB127,AB$11:AB$333)+COUNTIF(AB$11:AB127,AB127)-1),(RANK(AB127,AB$11:AB$333,1)+COUNTIF(AB$11:AB127,AB127)-1)))</f>
        <v>17</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Essex</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East of England</v>
      </c>
      <c r="AQ127" s="42">
        <f t="shared" si="66"/>
        <v>83.333333333333343</v>
      </c>
      <c r="AR127" s="39">
        <f>IF(AQ127="","",IF(I$8="A",(RANK(AQ127,AQ$11:AQ$333,1)+COUNTIF(AQ$11:AQ127,AQ127)-1),(RANK(AQ127,AQ$11:AQ$333)+COUNTIF(AQ$11:AQ127,AQ127)-1)))</f>
        <v>29</v>
      </c>
      <c r="AS127" s="3" t="str">
        <f t="shared" si="54"/>
        <v/>
      </c>
      <c r="AT127" s="39" t="str">
        <f t="shared" si="49"/>
        <v/>
      </c>
      <c r="AU127" s="42" t="str">
        <f t="shared" si="50"/>
        <v/>
      </c>
      <c r="AX127">
        <f>HLOOKUP($AX$9&amp;$AX$10,Data!$A$1:$ZT$1975,(MATCH($C127,Data!$A$1:$A$1975,0)),FALSE)</f>
        <v>66.666666666666657</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100</v>
      </c>
      <c r="G128" s="15"/>
      <c r="H128" s="41" t="str">
        <f t="shared" si="44"/>
        <v/>
      </c>
      <c r="I128" s="73" t="str">
        <f>IF(H128="","",IF($I$8="A",(RANK(H128,H$11:H$333,1)+COUNTIF(H$11:H128,H128)-1),(RANK(H128,H$11:H$333)+COUNTIF(H$11:H128,H128)-1)))</f>
        <v/>
      </c>
      <c r="J128" s="40"/>
      <c r="K128" s="35">
        <f t="shared" si="51"/>
        <v>118</v>
      </c>
      <c r="L128" t="str">
        <f t="shared" si="45"/>
        <v>North West Leicestershire</v>
      </c>
      <c r="M128" s="109">
        <f t="shared" si="46"/>
        <v>81.818181818181827</v>
      </c>
      <c r="N128" s="104">
        <f t="shared" si="55"/>
        <v>81.818181818181827</v>
      </c>
      <c r="O128" s="89" t="str">
        <f t="shared" si="56"/>
        <v/>
      </c>
      <c r="P128" s="89" t="str">
        <f t="shared" si="57"/>
        <v/>
      </c>
      <c r="Q128" s="89">
        <f t="shared" si="58"/>
        <v>81.818181818181827</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 xml:space="preserve">Predominantly Rural </v>
      </c>
      <c r="Y128">
        <f t="shared" si="62"/>
        <v>81.818181818181827</v>
      </c>
      <c r="Z128" s="39">
        <f>IF(Y128="","",IF(I$8="A",(RANK(Y128,Y$11:Y$333,1)+COUNTIF(Y$11:Y128,Y128)-1),(RANK(Y128,Y$11:Y$333)+COUNTIF(Y$11:Y128,Y128)-1)))</f>
        <v>44</v>
      </c>
      <c r="AA128" s="177" t="str">
        <f>IF(L128="","",VLOOKUP($L128,classifications!C:I,7,FALSE))</f>
        <v>Predominantly Rural</v>
      </c>
      <c r="AB128" s="173">
        <f t="shared" si="63"/>
        <v>81.818181818181827</v>
      </c>
      <c r="AC128" s="173">
        <f>IF(AB128="","",IF($I$8="A",(RANK(AB128,AB$11:AB$333)+COUNTIF(AB$11:AB128,AB128)-1),(RANK(AB128,AB$11:AB$333,1)+COUNTIF(AB$11:AB128,AB128)-1)))</f>
        <v>15</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Leicestershire</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East Midlands</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100</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60</v>
      </c>
      <c r="G129" s="15"/>
      <c r="H129" s="41">
        <f t="shared" si="44"/>
        <v>60</v>
      </c>
      <c r="I129" s="73">
        <f>IF(H129="","",IF($I$8="A",(RANK(H129,H$11:H$333,1)+COUNTIF(H$11:H129,H129)-1),(RANK(H129,H$11:H$333)+COUNTIF(H$11:H129,H129)-1)))</f>
        <v>150</v>
      </c>
      <c r="J129" s="40"/>
      <c r="K129" s="35">
        <f t="shared" si="51"/>
        <v>119</v>
      </c>
      <c r="L129" t="str">
        <f t="shared" si="45"/>
        <v>Rother</v>
      </c>
      <c r="M129" s="109">
        <f t="shared" si="46"/>
        <v>81.818181818181827</v>
      </c>
      <c r="N129" s="104">
        <f t="shared" si="55"/>
        <v>81.818181818181827</v>
      </c>
      <c r="O129" s="89" t="str">
        <f t="shared" si="56"/>
        <v/>
      </c>
      <c r="P129" s="89" t="str">
        <f t="shared" si="57"/>
        <v/>
      </c>
      <c r="Q129" s="89">
        <f t="shared" si="58"/>
        <v>81.818181818181827</v>
      </c>
      <c r="R129" s="85" t="str">
        <f t="shared" si="59"/>
        <v/>
      </c>
      <c r="S129" s="41" t="str">
        <f t="shared" si="60"/>
        <v/>
      </c>
      <c r="T129" s="166" t="str">
        <f>IF(L129="","",VLOOKUP(L129,classifications!C:K,9,FALSE))</f>
        <v>Sparse</v>
      </c>
      <c r="U129" s="167">
        <f t="shared" si="61"/>
        <v>81.818181818181827</v>
      </c>
      <c r="V129" s="173">
        <f>IF(U129="","",IF($I$8="A",(RANK(U129,U$11:U$333)+COUNTIF(U$11:U129,U129)-1),(RANK(U129,U$11:U$333,1)+COUNTIF(U$11:U129,U129)-1)))</f>
        <v>13</v>
      </c>
      <c r="W129" s="174"/>
      <c r="X129" s="5" t="str">
        <f>IF(L129="","",VLOOKUP($L129,classifications!$C:$J,6,FALSE))</f>
        <v xml:space="preserve">Predominantly Rural </v>
      </c>
      <c r="Y129">
        <f t="shared" si="62"/>
        <v>81.818181818181827</v>
      </c>
      <c r="Z129" s="39">
        <f>IF(Y129="","",IF(I$8="A",(RANK(Y129,Y$11:Y$333,1)+COUNTIF(Y$11:Y129,Y129)-1),(RANK(Y129,Y$11:Y$333)+COUNTIF(Y$11:Y129,Y129)-1)))</f>
        <v>45</v>
      </c>
      <c r="AA129" s="177" t="str">
        <f>IF(L129="","",VLOOKUP($L129,classifications!C:I,7,FALSE))</f>
        <v>Predominantly Rural</v>
      </c>
      <c r="AB129" s="173">
        <f t="shared" si="63"/>
        <v>81.818181818181827</v>
      </c>
      <c r="AC129" s="173">
        <f>IF(AB129="","",IF($I$8="A",(RANK(AB129,AB$11:AB$333)+COUNTIF(AB$11:AB129,AB129)-1),(RANK(AB129,AB$11:AB$333,1)+COUNTIF(AB$11:AB129,AB129)-1)))</f>
        <v>16</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East Sussex</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South East</v>
      </c>
      <c r="AQ129" s="42" t="str">
        <f t="shared" si="66"/>
        <v/>
      </c>
      <c r="AR129" s="39" t="str">
        <f>IF(AQ129="","",IF(I$8="A",(RANK(AQ129,AQ$11:AQ$333,1)+COUNTIF(AQ$11:AQ129,AQ129)-1),(RANK(AQ129,AQ$11:AQ$333)+COUNTIF(AQ$11:AQ129,AQ129)-1)))</f>
        <v/>
      </c>
      <c r="AS129" s="3" t="str">
        <f t="shared" si="54"/>
        <v/>
      </c>
      <c r="AT129" s="39" t="str">
        <f t="shared" si="49"/>
        <v/>
      </c>
      <c r="AU129" s="42" t="str">
        <f t="shared" si="50"/>
        <v/>
      </c>
      <c r="AX129">
        <f>HLOOKUP($AX$9&amp;$AX$10,Data!$A$1:$ZT$1975,(MATCH($C129,Data!$A$1:$A$1975,0)),FALSE)</f>
        <v>60</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t="str">
        <f t="shared" si="44"/>
        <v/>
      </c>
      <c r="I130" s="73" t="str">
        <f>IF(H130="","",IF($I$8="A",(RANK(H130,H$11:H$333,1)+COUNTIF(H$11:H130,H130)-1),(RANK(H130,H$11:H$333)+COUNTIF(H$11:H130,H130)-1)))</f>
        <v/>
      </c>
      <c r="J130" s="40"/>
      <c r="K130" s="35">
        <f t="shared" si="51"/>
        <v>120</v>
      </c>
      <c r="L130" t="str">
        <f t="shared" si="45"/>
        <v>Ashfield</v>
      </c>
      <c r="M130" s="109">
        <f t="shared" si="46"/>
        <v>80</v>
      </c>
      <c r="N130" s="104">
        <f t="shared" si="55"/>
        <v>80</v>
      </c>
      <c r="O130" s="89" t="str">
        <f t="shared" si="56"/>
        <v/>
      </c>
      <c r="P130" s="89" t="str">
        <f t="shared" si="57"/>
        <v/>
      </c>
      <c r="Q130" s="89">
        <f t="shared" si="58"/>
        <v>80</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Predominantly Urban</v>
      </c>
      <c r="Y130" t="str">
        <f t="shared" si="62"/>
        <v/>
      </c>
      <c r="Z130" s="39" t="str">
        <f>IF(Y130="","",IF(I$8="A",(RANK(Y130,Y$11:Y$333,1)+COUNTIF(Y$11:Y130,Y130)-1),(RANK(Y130,Y$11:Y$333)+COUNTIF(Y$11:Y130,Y130)-1)))</f>
        <v/>
      </c>
      <c r="AA130" s="177" t="str">
        <f>IF(L130="","",VLOOKUP($L130,classifications!C:I,7,FALSE))</f>
        <v>Predominantly Urban</v>
      </c>
      <c r="AB130" s="173" t="str">
        <f t="shared" si="63"/>
        <v/>
      </c>
      <c r="AC130" s="173" t="str">
        <f>IF(AB130="","",IF($I$8="A",(RANK(AB130,AB$11:AB$333)+COUNTIF(AB$11:AB130,AB130)-1),(RANK(AB130,AB$11:AB$333,1)+COUNTIF(AB$11:AB130,AB130)-1)))</f>
        <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Nottinghamshire</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East Midlands</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80</v>
      </c>
      <c r="G131" s="15"/>
      <c r="H131" s="41">
        <f t="shared" si="44"/>
        <v>80</v>
      </c>
      <c r="I131" s="73">
        <f>IF(H131="","",IF($I$8="A",(RANK(H131,H$11:H$333,1)+COUNTIF(H$11:H131,H131)-1),(RANK(H131,H$11:H$333)+COUNTIF(H$11:H131,H131)-1)))</f>
        <v>124</v>
      </c>
      <c r="J131" s="40"/>
      <c r="K131" s="35">
        <f t="shared" si="51"/>
        <v>121</v>
      </c>
      <c r="L131" t="str">
        <f t="shared" si="45"/>
        <v>Braintree</v>
      </c>
      <c r="M131" s="109">
        <f t="shared" si="46"/>
        <v>80</v>
      </c>
      <c r="N131" s="104">
        <f t="shared" si="55"/>
        <v>80</v>
      </c>
      <c r="O131" s="89" t="str">
        <f t="shared" si="56"/>
        <v/>
      </c>
      <c r="P131" s="89" t="str">
        <f t="shared" si="57"/>
        <v/>
      </c>
      <c r="Q131" s="89">
        <f t="shared" si="58"/>
        <v>80</v>
      </c>
      <c r="R131" s="85" t="str">
        <f t="shared" si="59"/>
        <v/>
      </c>
      <c r="S131" s="41" t="str">
        <f t="shared" si="60"/>
        <v/>
      </c>
      <c r="T131" s="166" t="str">
        <f>IF(L131="","",VLOOKUP(L131,classifications!C:K,9,FALSE))</f>
        <v>Sparse</v>
      </c>
      <c r="U131" s="167">
        <f t="shared" si="61"/>
        <v>80</v>
      </c>
      <c r="V131" s="173">
        <f>IF(U131="","",IF($I$8="A",(RANK(U131,U$11:U$333)+COUNTIF(U$11:U131,U131)-1),(RANK(U131,U$11:U$333,1)+COUNTIF(U$11:U131,U131)-1)))</f>
        <v>11</v>
      </c>
      <c r="W131" s="174"/>
      <c r="X131" s="5" t="str">
        <f>IF(L131="","",VLOOKUP($L131,classifications!$C:$J,6,FALSE))</f>
        <v xml:space="preserve">Predominantly Rural </v>
      </c>
      <c r="Y131">
        <f t="shared" si="62"/>
        <v>80</v>
      </c>
      <c r="Z131" s="39">
        <f>IF(Y131="","",IF(I$8="A",(RANK(Y131,Y$11:Y$333,1)+COUNTIF(Y$11:Y131,Y131)-1),(RANK(Y131,Y$11:Y$333)+COUNTIF(Y$11:Y131,Y131)-1)))</f>
        <v>46</v>
      </c>
      <c r="AA131" s="177" t="str">
        <f>IF(L131="","",VLOOKUP($L131,classifications!C:I,7,FALSE))</f>
        <v>Predominantly Rural</v>
      </c>
      <c r="AB131" s="173">
        <f t="shared" si="63"/>
        <v>80</v>
      </c>
      <c r="AC131" s="173">
        <f>IF(AB131="","",IF($I$8="A",(RANK(AB131,AB$11:AB$333)+COUNTIF(AB$11:AB131,AB131)-1),(RANK(AB131,AB$11:AB$333,1)+COUNTIF(AB$11:AB131,AB131)-1)))</f>
        <v>13</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Essex</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East of England</v>
      </c>
      <c r="AQ131" s="42">
        <f t="shared" si="66"/>
        <v>80</v>
      </c>
      <c r="AR131" s="39">
        <f>IF(AQ131="","",IF(I$8="A",(RANK(AQ131,AQ$11:AQ$333,1)+COUNTIF(AQ$11:AQ131,AQ131)-1),(RANK(AQ131,AQ$11:AQ$333)+COUNTIF(AQ$11:AQ131,AQ131)-1)))</f>
        <v>30</v>
      </c>
      <c r="AS131" s="3" t="str">
        <f t="shared" si="54"/>
        <v/>
      </c>
      <c r="AT131" s="39" t="str">
        <f t="shared" si="49"/>
        <v/>
      </c>
      <c r="AU131" s="42" t="str">
        <f t="shared" si="50"/>
        <v/>
      </c>
      <c r="AX131">
        <f>HLOOKUP($AX$9&amp;$AX$10,Data!$A$1:$ZT$1975,(MATCH($C131,Data!$A$1:$A$1975,0)),FALSE)</f>
        <v>80</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50</v>
      </c>
      <c r="G132" s="15"/>
      <c r="H132" s="41">
        <f t="shared" si="44"/>
        <v>50</v>
      </c>
      <c r="I132" s="73">
        <f>IF(H132="","",IF($I$8="A",(RANK(H132,H$11:H$333,1)+COUNTIF(H$11:H132,H132)-1),(RANK(H132,H$11:H$333)+COUNTIF(H$11:H132,H132)-1)))</f>
        <v>154</v>
      </c>
      <c r="J132" s="40"/>
      <c r="K132" s="35">
        <f t="shared" si="51"/>
        <v>122</v>
      </c>
      <c r="L132" t="str">
        <f t="shared" si="45"/>
        <v>East Hertfordshire</v>
      </c>
      <c r="M132" s="109">
        <f t="shared" si="46"/>
        <v>80</v>
      </c>
      <c r="N132" s="104">
        <f t="shared" si="55"/>
        <v>80</v>
      </c>
      <c r="O132" s="89" t="str">
        <f t="shared" si="56"/>
        <v/>
      </c>
      <c r="P132" s="89" t="str">
        <f t="shared" si="57"/>
        <v/>
      </c>
      <c r="Q132" s="89">
        <f t="shared" si="58"/>
        <v>80</v>
      </c>
      <c r="R132" s="85" t="str">
        <f t="shared" si="59"/>
        <v/>
      </c>
      <c r="S132" s="41" t="str">
        <f t="shared" si="60"/>
        <v/>
      </c>
      <c r="T132" s="166">
        <f>IF(L132="","",VLOOKUP(L132,classifications!C:K,9,FALSE))</f>
        <v>0</v>
      </c>
      <c r="U132" s="167" t="str">
        <f t="shared" si="61"/>
        <v/>
      </c>
      <c r="V132" s="173" t="str">
        <f>IF(U132="","",IF($I$8="A",(RANK(U132,U$11:U$333)+COUNTIF(U$11:U132,U132)-1),(RANK(U132,U$11:U$333,1)+COUNTIF(U$11:U132,U132)-1)))</f>
        <v/>
      </c>
      <c r="W132" s="174"/>
      <c r="X132" s="5" t="str">
        <f>IF(L132="","",VLOOKUP($L132,classifications!$C:$J,6,FALSE))</f>
        <v>Urban with Significant Rural</v>
      </c>
      <c r="Y132" t="str">
        <f t="shared" si="62"/>
        <v/>
      </c>
      <c r="Z132" s="39" t="str">
        <f>IF(Y132="","",IF(I$8="A",(RANK(Y132,Y$11:Y$333,1)+COUNTIF(Y$11:Y132,Y132)-1),(RANK(Y132,Y$11:Y$333)+COUNTIF(Y$11:Y132,Y132)-1)))</f>
        <v/>
      </c>
      <c r="AA132" s="177" t="str">
        <f>IF(L132="","",VLOOKUP($L132,classifications!C:I,7,FALSE))</f>
        <v>Urban with Significant Rural</v>
      </c>
      <c r="AB132" s="173" t="str">
        <f t="shared" si="63"/>
        <v/>
      </c>
      <c r="AC132" s="173" t="str">
        <f>IF(AB132="","",IF($I$8="A",(RANK(AB132,AB$11:AB$333)+COUNTIF(AB$11:AB132,AB132)-1),(RANK(AB132,AB$11:AB$333,1)+COUNTIF(AB$11:AB132,AB132)-1)))</f>
        <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Hertfordshire</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East of England</v>
      </c>
      <c r="AQ132" s="42">
        <f t="shared" si="66"/>
        <v>80</v>
      </c>
      <c r="AR132" s="39">
        <f>IF(AQ132="","",IF(I$8="A",(RANK(AQ132,AQ$11:AQ$333,1)+COUNTIF(AQ$11:AQ132,AQ132)-1),(RANK(AQ132,AQ$11:AQ$333)+COUNTIF(AQ$11:AQ132,AQ132)-1)))</f>
        <v>31</v>
      </c>
      <c r="AS132" s="3" t="str">
        <f t="shared" si="54"/>
        <v/>
      </c>
      <c r="AT132" s="39" t="str">
        <f t="shared" si="49"/>
        <v/>
      </c>
      <c r="AU132" s="42" t="str">
        <f t="shared" si="50"/>
        <v/>
      </c>
      <c r="AX132">
        <f>HLOOKUP($AX$9&amp;$AX$10,Data!$A$1:$ZT$1975,(MATCH($C132,Data!$A$1:$A$1975,0)),FALSE)</f>
        <v>50</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100</v>
      </c>
      <c r="G133" s="15"/>
      <c r="H133" s="41" t="str">
        <f t="shared" si="44"/>
        <v/>
      </c>
      <c r="I133" s="73" t="str">
        <f>IF(H133="","",IF($I$8="A",(RANK(H133,H$11:H$333,1)+COUNTIF(H$11:H133,H133)-1),(RANK(H133,H$11:H$333)+COUNTIF(H$11:H133,H133)-1)))</f>
        <v/>
      </c>
      <c r="J133" s="40"/>
      <c r="K133" s="35">
        <f t="shared" si="51"/>
        <v>123</v>
      </c>
      <c r="L133" t="str">
        <f t="shared" si="45"/>
        <v>Fylde</v>
      </c>
      <c r="M133" s="109">
        <f t="shared" si="46"/>
        <v>80</v>
      </c>
      <c r="N133" s="104">
        <f t="shared" si="55"/>
        <v>80</v>
      </c>
      <c r="O133" s="89" t="str">
        <f t="shared" si="56"/>
        <v/>
      </c>
      <c r="P133" s="89" t="str">
        <f t="shared" si="57"/>
        <v/>
      </c>
      <c r="Q133" s="89">
        <f t="shared" si="58"/>
        <v>80</v>
      </c>
      <c r="R133" s="85" t="str">
        <f t="shared" si="59"/>
        <v/>
      </c>
      <c r="S133" s="41" t="str">
        <f t="shared" si="60"/>
        <v/>
      </c>
      <c r="T133" s="166">
        <f>IF(L133="","",VLOOKUP(L133,classifications!C:K,9,FALSE))</f>
        <v>0</v>
      </c>
      <c r="U133" s="167" t="str">
        <f t="shared" si="61"/>
        <v/>
      </c>
      <c r="V133" s="173" t="str">
        <f>IF(U133="","",IF($I$8="A",(RANK(U133,U$11:U$333)+COUNTIF(U$11:U133,U133)-1),(RANK(U133,U$11:U$333,1)+COUNTIF(U$11:U133,U133)-1)))</f>
        <v/>
      </c>
      <c r="W133" s="174"/>
      <c r="X133" s="5" t="str">
        <f>IF(L133="","",VLOOKUP($L133,classifications!$C:$J,6,FALSE))</f>
        <v>Predominantly Urban</v>
      </c>
      <c r="Y133" t="str">
        <f t="shared" si="62"/>
        <v/>
      </c>
      <c r="Z133" s="39" t="str">
        <f>IF(Y133="","",IF(I$8="A",(RANK(Y133,Y$11:Y$333,1)+COUNTIF(Y$11:Y133,Y133)-1),(RANK(Y133,Y$11:Y$333)+COUNTIF(Y$11:Y133,Y133)-1)))</f>
        <v/>
      </c>
      <c r="AA133" s="177" t="str">
        <f>IF(L133="","",VLOOKUP($L133,classifications!C:I,7,FALSE))</f>
        <v>Predominantly Urban</v>
      </c>
      <c r="AB133" s="173" t="str">
        <f t="shared" si="63"/>
        <v/>
      </c>
      <c r="AC133" s="173" t="str">
        <f>IF(AB133="","",IF($I$8="A",(RANK(AB133,AB$11:AB$333)+COUNTIF(AB$11:AB133,AB133)-1),(RANK(AB133,AB$11:AB$333,1)+COUNTIF(AB$11:AB133,AB133)-1)))</f>
        <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Lancashire</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North West</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100</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92.307692307692307</v>
      </c>
      <c r="G134" s="15"/>
      <c r="H134" s="41" t="str">
        <f t="shared" si="44"/>
        <v/>
      </c>
      <c r="I134" s="73" t="str">
        <f>IF(H134="","",IF($I$8="A",(RANK(H134,H$11:H$333,1)+COUNTIF(H$11:H134,H134)-1),(RANK(H134,H$11:H$333)+COUNTIF(H$11:H134,H134)-1)))</f>
        <v/>
      </c>
      <c r="J134" s="40"/>
      <c r="K134" s="35">
        <f t="shared" si="51"/>
        <v>124</v>
      </c>
      <c r="L134" t="str">
        <f t="shared" si="45"/>
        <v>Hastings</v>
      </c>
      <c r="M134" s="109">
        <f t="shared" si="46"/>
        <v>80</v>
      </c>
      <c r="N134" s="104">
        <f t="shared" si="55"/>
        <v>80</v>
      </c>
      <c r="O134" s="89" t="str">
        <f t="shared" si="56"/>
        <v/>
      </c>
      <c r="P134" s="89" t="str">
        <f t="shared" si="57"/>
        <v/>
      </c>
      <c r="Q134" s="89">
        <f t="shared" si="58"/>
        <v>80</v>
      </c>
      <c r="R134" s="85" t="str">
        <f t="shared" si="59"/>
        <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Predominantly Urban</v>
      </c>
      <c r="Y134" t="str">
        <f t="shared" si="62"/>
        <v/>
      </c>
      <c r="Z134" s="39" t="str">
        <f>IF(Y134="","",IF(I$8="A",(RANK(Y134,Y$11:Y$333,1)+COUNTIF(Y$11:Y134,Y134)-1),(RANK(Y134,Y$11:Y$333)+COUNTIF(Y$11:Y134,Y134)-1)))</f>
        <v/>
      </c>
      <c r="AA134" s="177" t="str">
        <f>IF(L134="","",VLOOKUP($L134,classifications!C:I,7,FALSE))</f>
        <v>Predominantly Urban</v>
      </c>
      <c r="AB134" s="173" t="str">
        <f t="shared" si="63"/>
        <v/>
      </c>
      <c r="AC134" s="173" t="str">
        <f>IF(AB134="","",IF($I$8="A",(RANK(AB134,AB$11:AB$333)+COUNTIF(AB$11:AB134,AB134)-1),(RANK(AB134,AB$11:AB$333,1)+COUNTIF(AB$11:AB134,AB134)-1)))</f>
        <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East Sussex</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South East</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92.307692307692307</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South Norfolk</v>
      </c>
      <c r="M135" s="109">
        <f t="shared" si="46"/>
        <v>80</v>
      </c>
      <c r="N135" s="104">
        <f t="shared" si="55"/>
        <v>80</v>
      </c>
      <c r="O135" s="89" t="str">
        <f t="shared" si="56"/>
        <v/>
      </c>
      <c r="P135" s="89" t="str">
        <f t="shared" si="57"/>
        <v/>
      </c>
      <c r="Q135" s="89">
        <f t="shared" si="58"/>
        <v>80</v>
      </c>
      <c r="R135" s="85" t="str">
        <f t="shared" si="59"/>
        <v/>
      </c>
      <c r="S135" s="41" t="str">
        <f t="shared" si="60"/>
        <v/>
      </c>
      <c r="T135" s="166" t="str">
        <f>IF(L135="","",VLOOKUP(L135,classifications!C:K,9,FALSE))</f>
        <v>Sparse</v>
      </c>
      <c r="U135" s="167">
        <f t="shared" si="61"/>
        <v>80</v>
      </c>
      <c r="V135" s="173">
        <f>IF(U135="","",IF($I$8="A",(RANK(U135,U$11:U$333)+COUNTIF(U$11:U135,U135)-1),(RANK(U135,U$11:U$333,1)+COUNTIF(U$11:U135,U135)-1)))</f>
        <v>12</v>
      </c>
      <c r="W135" s="174"/>
      <c r="X135" s="5" t="str">
        <f>IF(L135="","",VLOOKUP($L135,classifications!$C:$J,6,FALSE))</f>
        <v xml:space="preserve">Predominantly Rural </v>
      </c>
      <c r="Y135">
        <f t="shared" si="62"/>
        <v>80</v>
      </c>
      <c r="Z135" s="39">
        <f>IF(Y135="","",IF(I$8="A",(RANK(Y135,Y$11:Y$333,1)+COUNTIF(Y$11:Y135,Y135)-1),(RANK(Y135,Y$11:Y$333)+COUNTIF(Y$11:Y135,Y135)-1)))</f>
        <v>47</v>
      </c>
      <c r="AA135" s="177" t="str">
        <f>IF(L135="","",VLOOKUP($L135,classifications!C:I,7,FALSE))</f>
        <v>Predominantly Rural</v>
      </c>
      <c r="AB135" s="173">
        <f t="shared" si="63"/>
        <v>80</v>
      </c>
      <c r="AC135" s="173">
        <f>IF(AB135="","",IF($I$8="A",(RANK(AB135,AB$11:AB$333)+COUNTIF(AB$11:AB135,AB135)-1),(RANK(AB135,AB$11:AB$333,1)+COUNTIF(AB$11:AB135,AB135)-1)))</f>
        <v>14</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Norfolk</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East of England</v>
      </c>
      <c r="AQ135" s="42">
        <f t="shared" si="66"/>
        <v>80</v>
      </c>
      <c r="AR135" s="39">
        <f>IF(AQ135="","",IF(I$8="A",(RANK(AQ135,AQ$11:AQ$333,1)+COUNTIF(AQ$11:AQ135,AQ135)-1),(RANK(AQ135,AQ$11:AQ$333)+COUNTIF(AQ$11:AQ135,AQ135)-1)))</f>
        <v>32</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100</v>
      </c>
      <c r="G136" s="15"/>
      <c r="H136" s="41">
        <f t="shared" si="44"/>
        <v>100</v>
      </c>
      <c r="I136" s="73">
        <f>IF(H136="","",IF($I$8="A",(RANK(H136,H$11:H$333,1)+COUNTIF(H$11:H136,H136)-1),(RANK(H136,H$11:H$333)+COUNTIF(H$11:H136,H136)-1)))</f>
        <v>31</v>
      </c>
      <c r="J136" s="40"/>
      <c r="K136" s="35">
        <f t="shared" si="51"/>
        <v>126</v>
      </c>
      <c r="L136" t="str">
        <f t="shared" si="45"/>
        <v>Tonbridge &amp; Malling</v>
      </c>
      <c r="M136" s="109">
        <f t="shared" si="46"/>
        <v>80</v>
      </c>
      <c r="N136" s="104">
        <f t="shared" si="55"/>
        <v>80</v>
      </c>
      <c r="O136" s="89" t="str">
        <f t="shared" si="56"/>
        <v/>
      </c>
      <c r="P136" s="89" t="str">
        <f t="shared" si="57"/>
        <v/>
      </c>
      <c r="Q136" s="89">
        <f t="shared" si="58"/>
        <v>80</v>
      </c>
      <c r="R136" s="85" t="str">
        <f t="shared" si="59"/>
        <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Urban with Significant Rural</v>
      </c>
      <c r="Y136" t="str">
        <f t="shared" si="62"/>
        <v/>
      </c>
      <c r="Z136" s="39" t="str">
        <f>IF(Y136="","",IF(I$8="A",(RANK(Y136,Y$11:Y$333,1)+COUNTIF(Y$11:Y136,Y136)-1),(RANK(Y136,Y$11:Y$333)+COUNTIF(Y$11:Y136,Y136)-1)))</f>
        <v/>
      </c>
      <c r="AA136" s="177" t="str">
        <f>IF(L136="","",VLOOKUP($L136,classifications!C:I,7,FALSE))</f>
        <v>Urban with Significant Rural</v>
      </c>
      <c r="AB136" s="173" t="str">
        <f t="shared" si="63"/>
        <v/>
      </c>
      <c r="AC136" s="173" t="str">
        <f>IF(AB136="","",IF($I$8="A",(RANK(AB136,AB$11:AB$333)+COUNTIF(AB$11:AB136,AB136)-1),(RANK(AB136,AB$11:AB$333,1)+COUNTIF(AB$11:AB136,AB136)-1)))</f>
        <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Kent</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South East</v>
      </c>
      <c r="AQ136" s="42" t="str">
        <f t="shared" si="66"/>
        <v/>
      </c>
      <c r="AR136" s="39" t="str">
        <f>IF(AQ136="","",IF(I$8="A",(RANK(AQ136,AQ$11:AQ$333,1)+COUNTIF(AQ$11:AQ136,AQ136)-1),(RANK(AQ136,AQ$11:AQ$333)+COUNTIF(AQ$11:AQ136,AQ136)-1)))</f>
        <v/>
      </c>
      <c r="AS136" s="3" t="str">
        <f t="shared" si="54"/>
        <v/>
      </c>
      <c r="AT136" s="39" t="str">
        <f t="shared" si="49"/>
        <v/>
      </c>
      <c r="AU136" s="42" t="str">
        <f t="shared" si="50"/>
        <v/>
      </c>
      <c r="AX136">
        <f>HLOOKUP($AX$9&amp;$AX$10,Data!$A$1:$ZT$1975,(MATCH($C136,Data!$A$1:$A$1975,0)),FALSE)</f>
        <v>100</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f t="shared" si="44"/>
        <v>100</v>
      </c>
      <c r="I137" s="73">
        <f>IF(H137="","",IF($I$8="A",(RANK(H137,H$11:H$333,1)+COUNTIF(H$11:H137,H137)-1),(RANK(H137,H$11:H$333)+COUNTIF(H$11:H137,H137)-1)))</f>
        <v>32</v>
      </c>
      <c r="J137" s="40"/>
      <c r="K137" s="35">
        <f t="shared" si="51"/>
        <v>127</v>
      </c>
      <c r="L137" t="str">
        <f t="shared" si="45"/>
        <v>Hinckley &amp; Bosworth</v>
      </c>
      <c r="M137" s="109">
        <f t="shared" si="46"/>
        <v>78.571428571428569</v>
      </c>
      <c r="N137" s="104">
        <f t="shared" si="55"/>
        <v>78.571428571428569</v>
      </c>
      <c r="O137" s="89" t="str">
        <f t="shared" si="56"/>
        <v/>
      </c>
      <c r="P137" s="89" t="str">
        <f t="shared" si="57"/>
        <v/>
      </c>
      <c r="Q137" s="89" t="str">
        <f t="shared" si="58"/>
        <v/>
      </c>
      <c r="R137" s="85">
        <f t="shared" si="59"/>
        <v>78.571428571428569</v>
      </c>
      <c r="S137" s="41" t="str">
        <f t="shared" si="60"/>
        <v/>
      </c>
      <c r="T137" s="166">
        <f>IF(L137="","",VLOOKUP(L137,classifications!C:K,9,FALSE))</f>
        <v>0</v>
      </c>
      <c r="U137" s="167" t="str">
        <f t="shared" si="61"/>
        <v/>
      </c>
      <c r="V137" s="173" t="str">
        <f>IF(U137="","",IF($I$8="A",(RANK(U137,U$11:U$333)+COUNTIF(U$11:U137,U137)-1),(RANK(U137,U$11:U$333,1)+COUNTIF(U$11:U137,U137)-1)))</f>
        <v/>
      </c>
      <c r="W137" s="174"/>
      <c r="X137" s="5" t="str">
        <f>IF(L137="","",VLOOKUP($L137,classifications!$C:$J,6,FALSE))</f>
        <v xml:space="preserve">Predominantly Rural </v>
      </c>
      <c r="Y137">
        <f t="shared" si="62"/>
        <v>78.571428571428569</v>
      </c>
      <c r="Z137" s="39">
        <f>IF(Y137="","",IF(I$8="A",(RANK(Y137,Y$11:Y$333,1)+COUNTIF(Y$11:Y137,Y137)-1),(RANK(Y137,Y$11:Y$333)+COUNTIF(Y$11:Y137,Y137)-1)))</f>
        <v>48</v>
      </c>
      <c r="AA137" s="177" t="str">
        <f>IF(L137="","",VLOOKUP($L137,classifications!C:I,7,FALSE))</f>
        <v>Predominantly Rural</v>
      </c>
      <c r="AB137" s="173">
        <f t="shared" si="63"/>
        <v>78.571428571428569</v>
      </c>
      <c r="AC137" s="173">
        <f>IF(AB137="","",IF($I$8="A",(RANK(AB137,AB$11:AB$333)+COUNTIF(AB$11:AB137,AB137)-1),(RANK(AB137,AB$11:AB$333,1)+COUNTIF(AB$11:AB137,AB137)-1)))</f>
        <v>12</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Leicestershire</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East Midlands</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100</v>
      </c>
      <c r="G138" s="15"/>
      <c r="H138" s="41" t="str">
        <f t="shared" si="44"/>
        <v/>
      </c>
      <c r="I138" s="73" t="str">
        <f>IF(H138="","",IF($I$8="A",(RANK(H138,H$11:H$333,1)+COUNTIF(H$11:H138,H138)-1),(RANK(H138,H$11:H$333)+COUNTIF(H$11:H138,H138)-1)))</f>
        <v/>
      </c>
      <c r="J138" s="40"/>
      <c r="K138" s="35">
        <f t="shared" si="51"/>
        <v>128</v>
      </c>
      <c r="L138" t="str">
        <f t="shared" si="45"/>
        <v>Broxtowe</v>
      </c>
      <c r="M138" s="109">
        <f t="shared" si="46"/>
        <v>75</v>
      </c>
      <c r="N138" s="104">
        <f t="shared" si="55"/>
        <v>75</v>
      </c>
      <c r="O138" s="89" t="str">
        <f t="shared" si="56"/>
        <v/>
      </c>
      <c r="P138" s="89" t="str">
        <f t="shared" si="57"/>
        <v/>
      </c>
      <c r="Q138" s="89" t="str">
        <f t="shared" si="58"/>
        <v/>
      </c>
      <c r="R138" s="85">
        <f t="shared" si="59"/>
        <v>75</v>
      </c>
      <c r="S138" s="41" t="str">
        <f t="shared" si="60"/>
        <v/>
      </c>
      <c r="T138" s="166">
        <f>IF(L138="","",VLOOKUP(L138,classifications!C:K,9,FALSE))</f>
        <v>0</v>
      </c>
      <c r="U138" s="167" t="str">
        <f t="shared" si="61"/>
        <v/>
      </c>
      <c r="V138" s="173" t="str">
        <f>IF(U138="","",IF($I$8="A",(RANK(U138,U$11:U$333)+COUNTIF(U$11:U138,U138)-1),(RANK(U138,U$11:U$333,1)+COUNTIF(U$11:U138,U138)-1)))</f>
        <v/>
      </c>
      <c r="W138" s="174"/>
      <c r="X138" s="5" t="str">
        <f>IF(L138="","",VLOOKUP($L138,classifications!$C:$J,6,FALSE))</f>
        <v>Predominantly Urban</v>
      </c>
      <c r="Y138" t="str">
        <f t="shared" si="62"/>
        <v/>
      </c>
      <c r="Z138" s="39" t="str">
        <f>IF(Y138="","",IF(I$8="A",(RANK(Y138,Y$11:Y$333,1)+COUNTIF(Y$11:Y138,Y138)-1),(RANK(Y138,Y$11:Y$333)+COUNTIF(Y$11:Y138,Y138)-1)))</f>
        <v/>
      </c>
      <c r="AA138" s="177" t="str">
        <f>IF(L138="","",VLOOKUP($L138,classifications!C:I,7,FALSE))</f>
        <v>Predominantly Urban</v>
      </c>
      <c r="AB138" s="173" t="str">
        <f t="shared" si="63"/>
        <v/>
      </c>
      <c r="AC138" s="173" t="str">
        <f>IF(AB138="","",IF($I$8="A",(RANK(AB138,AB$11:AB$333)+COUNTIF(AB$11:AB138,AB138)-1),(RANK(AB138,AB$11:AB$333,1)+COUNTIF(AB$11:AB138,AB138)-1)))</f>
        <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Nottinghamshire</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East Midlands</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100</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78.571428571428569</v>
      </c>
      <c r="G139" s="15"/>
      <c r="H139" s="41">
        <f t="shared" ref="H139:H202" si="68">IF(D139=$D$1,HLOOKUP($D$6,$AX$10:$ZZ$337,ROW()-9,FALSE),"")</f>
        <v>78.571428571428569</v>
      </c>
      <c r="I139" s="73">
        <f>IF(H139="","",IF($I$8="A",(RANK(H139,H$11:H$333,1)+COUNTIF(H$11:H139,H139)-1),(RANK(H139,H$11:H$333)+COUNTIF(H$11:H139,H139)-1)))</f>
        <v>127</v>
      </c>
      <c r="J139" s="40"/>
      <c r="K139" s="35">
        <f t="shared" si="51"/>
        <v>129</v>
      </c>
      <c r="L139" t="str">
        <f t="shared" ref="L139:L202" si="69">IF(K139="","",INDEX(C$11:C$327,MATCH(K139,I$11:I$333,0)))</f>
        <v>Cheltenham</v>
      </c>
      <c r="M139" s="109">
        <f t="shared" ref="M139:M202" si="70">IF(L139="","",IF(VLOOKUP(L139,C:D,2,FALSE)=$F$3,VLOOKUP(L139,C:H,6,FALSE),""))</f>
        <v>75</v>
      </c>
      <c r="N139" s="104">
        <f t="shared" si="55"/>
        <v>75</v>
      </c>
      <c r="O139" s="89" t="str">
        <f t="shared" si="56"/>
        <v/>
      </c>
      <c r="P139" s="89" t="str">
        <f t="shared" si="57"/>
        <v/>
      </c>
      <c r="Q139" s="89" t="str">
        <f t="shared" si="58"/>
        <v/>
      </c>
      <c r="R139" s="85">
        <f t="shared" si="59"/>
        <v>75</v>
      </c>
      <c r="S139" s="41" t="str">
        <f t="shared" si="60"/>
        <v/>
      </c>
      <c r="T139" s="166">
        <f>IF(L139="","",VLOOKUP(L139,classifications!C:K,9,FALSE))</f>
        <v>0</v>
      </c>
      <c r="U139" s="167" t="str">
        <f t="shared" si="61"/>
        <v/>
      </c>
      <c r="V139" s="173" t="str">
        <f>IF(U139="","",IF($I$8="A",(RANK(U139,U$11:U$333)+COUNTIF(U$11:U139,U139)-1),(RANK(U139,U$11:U$333,1)+COUNTIF(U$11:U139,U139)-1)))</f>
        <v/>
      </c>
      <c r="W139" s="174"/>
      <c r="X139" s="5" t="str">
        <f>IF(L139="","",VLOOKUP($L139,classifications!$C:$J,6,FALSE))</f>
        <v>Predominantly Urban</v>
      </c>
      <c r="Y139" t="str">
        <f t="shared" si="62"/>
        <v/>
      </c>
      <c r="Z139" s="39" t="str">
        <f>IF(Y139="","",IF(I$8="A",(RANK(Y139,Y$11:Y$333,1)+COUNTIF(Y$11:Y139,Y139)-1),(RANK(Y139,Y$11:Y$333)+COUNTIF(Y$11:Y139,Y139)-1)))</f>
        <v/>
      </c>
      <c r="AA139" s="177" t="str">
        <f>IF(L139="","",VLOOKUP($L139,classifications!C:I,7,FALSE))</f>
        <v>Predominantly Urban</v>
      </c>
      <c r="AB139" s="173" t="str">
        <f t="shared" si="63"/>
        <v/>
      </c>
      <c r="AC139" s="173" t="str">
        <f>IF(AB139="","",IF($I$8="A",(RANK(AB139,AB$11:AB$333)+COUNTIF(AB$11:AB139,AB139)-1),(RANK(AB139,AB$11:AB$333,1)+COUNTIF(AB$11:AB139,AB139)-1)))</f>
        <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Gloucestershire</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South West</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78.571428571428569</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100</v>
      </c>
      <c r="G140" s="15"/>
      <c r="H140" s="41">
        <f t="shared" si="68"/>
        <v>100</v>
      </c>
      <c r="I140" s="73">
        <f>IF(H140="","",IF($I$8="A",(RANK(H140,H$11:H$333,1)+COUNTIF(H$11:H140,H140)-1),(RANK(H140,H$11:H$333)+COUNTIF(H$11:H140,H140)-1)))</f>
        <v>33</v>
      </c>
      <c r="J140" s="40"/>
      <c r="K140" s="35">
        <f t="shared" ref="K140:K203" si="75">IF(K139="","",IF(K139+1&gt;(COUNT(H$11:H$333)),"",K139+1))</f>
        <v>130</v>
      </c>
      <c r="L140" t="str">
        <f t="shared" si="69"/>
        <v>Huntingdonshire</v>
      </c>
      <c r="M140" s="109">
        <f t="shared" si="70"/>
        <v>75</v>
      </c>
      <c r="N140" s="104">
        <f t="shared" si="55"/>
        <v>75</v>
      </c>
      <c r="O140" s="89" t="str">
        <f t="shared" si="56"/>
        <v/>
      </c>
      <c r="P140" s="89" t="str">
        <f t="shared" si="57"/>
        <v/>
      </c>
      <c r="Q140" s="89" t="str">
        <f t="shared" si="58"/>
        <v/>
      </c>
      <c r="R140" s="85">
        <f t="shared" si="59"/>
        <v>75</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 xml:space="preserve">Predominantly Rural </v>
      </c>
      <c r="Y140">
        <f t="shared" si="62"/>
        <v>75</v>
      </c>
      <c r="Z140" s="39">
        <f>IF(Y140="","",IF(I$8="A",(RANK(Y140,Y$11:Y$333,1)+COUNTIF(Y$11:Y140,Y140)-1),(RANK(Y140,Y$11:Y$333)+COUNTIF(Y$11:Y140,Y140)-1)))</f>
        <v>49</v>
      </c>
      <c r="AA140" s="177" t="str">
        <f>IF(L140="","",VLOOKUP($L140,classifications!C:I,7,FALSE))</f>
        <v>Predominantly Rural</v>
      </c>
      <c r="AB140" s="173">
        <f t="shared" si="63"/>
        <v>75</v>
      </c>
      <c r="AC140" s="173">
        <f>IF(AB140="","",IF($I$8="A",(RANK(AB140,AB$11:AB$333)+COUNTIF(AB$11:AB140,AB140)-1),(RANK(AB140,AB$11:AB$333,1)+COUNTIF(AB$11:AB140,AB140)-1)))</f>
        <v>10</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Cambridgeshire</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East of England</v>
      </c>
      <c r="AQ140" s="42">
        <f t="shared" si="66"/>
        <v>75</v>
      </c>
      <c r="AR140" s="39">
        <f>IF(AQ140="","",IF(I$8="A",(RANK(AQ140,AQ$11:AQ$333,1)+COUNTIF(AQ$11:AQ140,AQ140)-1),(RANK(AQ140,AQ$11:AQ$333)+COUNTIF(AQ$11:AQ140,AQ140)-1)))</f>
        <v>33</v>
      </c>
      <c r="AS140" s="3" t="str">
        <f t="shared" ref="AS140:AS203" si="78">IF(AS139="","",IF(AS139+1&gt;(COUNT(AQ$11:AQ$333)),"",AS139+1))</f>
        <v/>
      </c>
      <c r="AT140" s="39" t="str">
        <f t="shared" si="73"/>
        <v/>
      </c>
      <c r="AU140" s="42" t="str">
        <f t="shared" si="74"/>
        <v/>
      </c>
      <c r="AX140">
        <f>HLOOKUP($AX$9&amp;$AX$10,Data!$A$1:$ZT$1975,(MATCH($C140,Data!$A$1:$A$1975,0)),FALSE)</f>
        <v>100</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100</v>
      </c>
      <c r="G141" s="15"/>
      <c r="H141" s="41" t="str">
        <f t="shared" si="68"/>
        <v/>
      </c>
      <c r="I141" s="73" t="str">
        <f>IF(H141="","",IF($I$8="A",(RANK(H141,H$11:H$333,1)+COUNTIF(H$11:H141,H141)-1),(RANK(H141,H$11:H$333)+COUNTIF(H$11:H141,H141)-1)))</f>
        <v/>
      </c>
      <c r="J141" s="40"/>
      <c r="K141" s="35">
        <f t="shared" si="75"/>
        <v>131</v>
      </c>
      <c r="L141" t="str">
        <f t="shared" si="69"/>
        <v>Malvern Hills</v>
      </c>
      <c r="M141" s="109">
        <f t="shared" si="70"/>
        <v>75</v>
      </c>
      <c r="N141" s="104">
        <f t="shared" si="55"/>
        <v>75</v>
      </c>
      <c r="O141" s="89" t="str">
        <f t="shared" si="56"/>
        <v/>
      </c>
      <c r="P141" s="89" t="str">
        <f t="shared" si="57"/>
        <v/>
      </c>
      <c r="Q141" s="89" t="str">
        <f t="shared" si="58"/>
        <v/>
      </c>
      <c r="R141" s="85">
        <f t="shared" si="59"/>
        <v>75</v>
      </c>
      <c r="S141" s="41" t="str">
        <f t="shared" si="60"/>
        <v/>
      </c>
      <c r="T141" s="166" t="str">
        <f>IF(L141="","",VLOOKUP(L141,classifications!C:K,9,FALSE))</f>
        <v>Sparse</v>
      </c>
      <c r="U141" s="167">
        <f t="shared" si="61"/>
        <v>75</v>
      </c>
      <c r="V141" s="173">
        <f>IF(U141="","",IF($I$8="A",(RANK(U141,U$11:U$333)+COUNTIF(U$11:U141,U141)-1),(RANK(U141,U$11:U$333,1)+COUNTIF(U$11:U141,U141)-1)))</f>
        <v>10</v>
      </c>
      <c r="W141" s="174"/>
      <c r="X141" s="5" t="str">
        <f>IF(L141="","",VLOOKUP($L141,classifications!$C:$J,6,FALSE))</f>
        <v xml:space="preserve">Predominantly Rural </v>
      </c>
      <c r="Y141">
        <f t="shared" si="62"/>
        <v>75</v>
      </c>
      <c r="Z141" s="39">
        <f>IF(Y141="","",IF(I$8="A",(RANK(Y141,Y$11:Y$333,1)+COUNTIF(Y$11:Y141,Y141)-1),(RANK(Y141,Y$11:Y$333)+COUNTIF(Y$11:Y141,Y141)-1)))</f>
        <v>50</v>
      </c>
      <c r="AA141" s="177" t="str">
        <f>IF(L141="","",VLOOKUP($L141,classifications!C:I,7,FALSE))</f>
        <v>Predominantly Rural</v>
      </c>
      <c r="AB141" s="173">
        <f t="shared" si="63"/>
        <v>75</v>
      </c>
      <c r="AC141" s="173">
        <f>IF(AB141="","",IF($I$8="A",(RANK(AB141,AB$11:AB$333)+COUNTIF(AB$11:AB141,AB141)-1),(RANK(AB141,AB$11:AB$333,1)+COUNTIF(AB$11:AB141,AB141)-1)))</f>
        <v>11</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Worcestershire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West Midlands</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100</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75</v>
      </c>
      <c r="G142" s="15"/>
      <c r="H142" s="41">
        <f t="shared" si="68"/>
        <v>75</v>
      </c>
      <c r="I142" s="73">
        <f>IF(H142="","",IF($I$8="A",(RANK(H142,H$11:H$333,1)+COUNTIF(H$11:H142,H142)-1),(RANK(H142,H$11:H$333)+COUNTIF(H$11:H142,H142)-1)))</f>
        <v>130</v>
      </c>
      <c r="J142" s="40"/>
      <c r="K142" s="35">
        <f t="shared" si="75"/>
        <v>132</v>
      </c>
      <c r="L142" t="str">
        <f t="shared" si="69"/>
        <v>Thanet</v>
      </c>
      <c r="M142" s="109">
        <f t="shared" si="70"/>
        <v>73.333333333333329</v>
      </c>
      <c r="N142" s="104">
        <f t="shared" si="55"/>
        <v>73.333333333333329</v>
      </c>
      <c r="O142" s="89" t="str">
        <f t="shared" si="56"/>
        <v/>
      </c>
      <c r="P142" s="89" t="str">
        <f t="shared" si="57"/>
        <v/>
      </c>
      <c r="Q142" s="89" t="str">
        <f t="shared" si="58"/>
        <v/>
      </c>
      <c r="R142" s="85">
        <f t="shared" si="59"/>
        <v>73.333333333333329</v>
      </c>
      <c r="S142" s="41" t="str">
        <f t="shared" si="60"/>
        <v/>
      </c>
      <c r="T142" s="166">
        <f>IF(L142="","",VLOOKUP(L142,classifications!C:K,9,FALSE))</f>
        <v>0</v>
      </c>
      <c r="U142" s="167" t="str">
        <f t="shared" si="61"/>
        <v/>
      </c>
      <c r="V142" s="173" t="str">
        <f>IF(U142="","",IF($I$8="A",(RANK(U142,U$11:U$333)+COUNTIF(U$11:U142,U142)-1),(RANK(U142,U$11:U$333,1)+COUNTIF(U$11:U142,U142)-1)))</f>
        <v/>
      </c>
      <c r="W142" s="174"/>
      <c r="X142" s="5" t="str">
        <f>IF(L142="","",VLOOKUP($L142,classifications!$C:$J,6,FALSE))</f>
        <v>Predominantly Urban</v>
      </c>
      <c r="Y142" t="str">
        <f t="shared" si="62"/>
        <v/>
      </c>
      <c r="Z142" s="39" t="str">
        <f>IF(Y142="","",IF(I$8="A",(RANK(Y142,Y$11:Y$333,1)+COUNTIF(Y$11:Y142,Y142)-1),(RANK(Y142,Y$11:Y$333)+COUNTIF(Y$11:Y142,Y142)-1)))</f>
        <v/>
      </c>
      <c r="AA142" s="177" t="str">
        <f>IF(L142="","",VLOOKUP($L142,classifications!C:I,7,FALSE))</f>
        <v>Predominantly Urban</v>
      </c>
      <c r="AB142" s="173" t="str">
        <f t="shared" si="63"/>
        <v/>
      </c>
      <c r="AC142" s="173" t="str">
        <f>IF(AB142="","",IF($I$8="A",(RANK(AB142,AB$11:AB$333)+COUNTIF(AB$11:AB142,AB142)-1),(RANK(AB142,AB$11:AB$333,1)+COUNTIF(AB$11:AB142,AB142)-1)))</f>
        <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Kent</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South East</v>
      </c>
      <c r="AQ142" s="42" t="str">
        <f t="shared" si="66"/>
        <v/>
      </c>
      <c r="AR142" s="39" t="str">
        <f>IF(AQ142="","",IF(I$8="A",(RANK(AQ142,AQ$11:AQ$333,1)+COUNTIF(AQ$11:AQ142,AQ142)-1),(RANK(AQ142,AQ$11:AQ$333)+COUNTIF(AQ$11:AQ142,AQ142)-1)))</f>
        <v/>
      </c>
      <c r="AS142" s="3" t="str">
        <f t="shared" si="78"/>
        <v/>
      </c>
      <c r="AT142" s="39" t="str">
        <f t="shared" si="73"/>
        <v/>
      </c>
      <c r="AU142" s="42" t="str">
        <f t="shared" si="74"/>
        <v/>
      </c>
      <c r="AX142">
        <f>HLOOKUP($AX$9&amp;$AX$10,Data!$A$1:$ZT$1975,(MATCH($C142,Data!$A$1:$A$1975,0)),FALSE)</f>
        <v>75</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100</v>
      </c>
      <c r="G143" s="15"/>
      <c r="H143" s="41">
        <f t="shared" si="68"/>
        <v>100</v>
      </c>
      <c r="I143" s="73">
        <f>IF(H143="","",IF($I$8="A",(RANK(H143,H$11:H$333,1)+COUNTIF(H$11:H143,H143)-1),(RANK(H143,H$11:H$333)+COUNTIF(H$11:H143,H143)-1)))</f>
        <v>34</v>
      </c>
      <c r="J143" s="40"/>
      <c r="K143" s="35">
        <f t="shared" si="75"/>
        <v>133</v>
      </c>
      <c r="L143" t="str">
        <f t="shared" si="69"/>
        <v>Cotswold</v>
      </c>
      <c r="M143" s="109">
        <f t="shared" si="70"/>
        <v>71.428571428571431</v>
      </c>
      <c r="N143" s="104">
        <f t="shared" si="55"/>
        <v>71.428571428571431</v>
      </c>
      <c r="O143" s="89" t="str">
        <f t="shared" si="56"/>
        <v/>
      </c>
      <c r="P143" s="89" t="str">
        <f t="shared" si="57"/>
        <v/>
      </c>
      <c r="Q143" s="89" t="str">
        <f t="shared" si="58"/>
        <v/>
      </c>
      <c r="R143" s="85">
        <f t="shared" si="59"/>
        <v>71.428571428571431</v>
      </c>
      <c r="S143" s="41" t="str">
        <f t="shared" si="60"/>
        <v/>
      </c>
      <c r="T143" s="166" t="str">
        <f>IF(L143="","",VLOOKUP(L143,classifications!C:K,9,FALSE))</f>
        <v>Sparse</v>
      </c>
      <c r="U143" s="167">
        <f t="shared" si="61"/>
        <v>71.428571428571431</v>
      </c>
      <c r="V143" s="173">
        <f>IF(U143="","",IF($I$8="A",(RANK(U143,U$11:U$333)+COUNTIF(U$11:U143,U143)-1),(RANK(U143,U$11:U$333,1)+COUNTIF(U$11:U143,U143)-1)))</f>
        <v>7</v>
      </c>
      <c r="W143" s="174"/>
      <c r="X143" s="5" t="str">
        <f>IF(L143="","",VLOOKUP($L143,classifications!$C:$J,6,FALSE))</f>
        <v xml:space="preserve">Predominantly Rural </v>
      </c>
      <c r="Y143">
        <f t="shared" si="62"/>
        <v>71.428571428571431</v>
      </c>
      <c r="Z143" s="39">
        <f>IF(Y143="","",IF(I$8="A",(RANK(Y143,Y$11:Y$333,1)+COUNTIF(Y$11:Y143,Y143)-1),(RANK(Y143,Y$11:Y$333)+COUNTIF(Y$11:Y143,Y143)-1)))</f>
        <v>51</v>
      </c>
      <c r="AA143" s="177" t="str">
        <f>IF(L143="","",VLOOKUP($L143,classifications!C:I,7,FALSE))</f>
        <v>Predominantly Rural</v>
      </c>
      <c r="AB143" s="173">
        <f t="shared" si="63"/>
        <v>71.428571428571431</v>
      </c>
      <c r="AC143" s="173">
        <f>IF(AB143="","",IF($I$8="A",(RANK(AB143,AB$11:AB$333)+COUNTIF(AB$11:AB143,AB143)-1),(RANK(AB143,AB$11:AB$333,1)+COUNTIF(AB$11:AB143,AB143)-1)))</f>
        <v>5</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Gloucestershire</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South West</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100</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50</v>
      </c>
      <c r="G144" s="15"/>
      <c r="H144" s="41">
        <f t="shared" si="68"/>
        <v>50</v>
      </c>
      <c r="I144" s="73">
        <f>IF(H144="","",IF($I$8="A",(RANK(H144,H$11:H$333,1)+COUNTIF(H$11:H144,H144)-1),(RANK(H144,H$11:H$333)+COUNTIF(H$11:H144,H144)-1)))</f>
        <v>155</v>
      </c>
      <c r="J144" s="40"/>
      <c r="K144" s="35">
        <f t="shared" si="75"/>
        <v>134</v>
      </c>
      <c r="L144" t="str">
        <f t="shared" si="69"/>
        <v>East Lindsey</v>
      </c>
      <c r="M144" s="109">
        <f t="shared" si="70"/>
        <v>71.428571428571431</v>
      </c>
      <c r="N144" s="104">
        <f t="shared" si="55"/>
        <v>71.428571428571431</v>
      </c>
      <c r="O144" s="89" t="str">
        <f t="shared" si="56"/>
        <v/>
      </c>
      <c r="P144" s="89" t="str">
        <f t="shared" si="57"/>
        <v/>
      </c>
      <c r="Q144" s="89" t="str">
        <f t="shared" si="58"/>
        <v/>
      </c>
      <c r="R144" s="85">
        <f t="shared" si="59"/>
        <v>71.428571428571431</v>
      </c>
      <c r="S144" s="41" t="str">
        <f t="shared" si="60"/>
        <v/>
      </c>
      <c r="T144" s="166" t="str">
        <f>IF(L144="","",VLOOKUP(L144,classifications!C:K,9,FALSE))</f>
        <v>Sparse</v>
      </c>
      <c r="U144" s="167">
        <f t="shared" si="61"/>
        <v>71.428571428571431</v>
      </c>
      <c r="V144" s="173">
        <f>IF(U144="","",IF($I$8="A",(RANK(U144,U$11:U$333)+COUNTIF(U$11:U144,U144)-1),(RANK(U144,U$11:U$333,1)+COUNTIF(U$11:U144,U144)-1)))</f>
        <v>8</v>
      </c>
      <c r="W144" s="174"/>
      <c r="X144" s="5" t="str">
        <f>IF(L144="","",VLOOKUP($L144,classifications!$C:$J,6,FALSE))</f>
        <v xml:space="preserve">Predominantly Rural </v>
      </c>
      <c r="Y144">
        <f t="shared" si="62"/>
        <v>71.428571428571431</v>
      </c>
      <c r="Z144" s="39">
        <f>IF(Y144="","",IF(I$8="A",(RANK(Y144,Y$11:Y$333,1)+COUNTIF(Y$11:Y144,Y144)-1),(RANK(Y144,Y$11:Y$333)+COUNTIF(Y$11:Y144,Y144)-1)))</f>
        <v>52</v>
      </c>
      <c r="AA144" s="177" t="str">
        <f>IF(L144="","",VLOOKUP($L144,classifications!C:I,7,FALSE))</f>
        <v>Predominantly Rural</v>
      </c>
      <c r="AB144" s="173">
        <f t="shared" si="63"/>
        <v>71.428571428571431</v>
      </c>
      <c r="AC144" s="173">
        <f>IF(AB144="","",IF($I$8="A",(RANK(AB144,AB$11:AB$333)+COUNTIF(AB$11:AB144,AB144)-1),(RANK(AB144,AB$11:AB$333,1)+COUNTIF(AB$11:AB144,AB144)-1)))</f>
        <v>6</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Lincolnshire</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East Midlands</v>
      </c>
      <c r="AQ144" s="42" t="str">
        <f t="shared" si="66"/>
        <v/>
      </c>
      <c r="AR144" s="39" t="str">
        <f>IF(AQ144="","",IF(I$8="A",(RANK(AQ144,AQ$11:AQ$333,1)+COUNTIF(AQ$11:AQ144,AQ144)-1),(RANK(AQ144,AQ$11:AQ$333)+COUNTIF(AQ$11:AQ144,AQ144)-1)))</f>
        <v/>
      </c>
      <c r="AS144" s="3" t="str">
        <f t="shared" si="78"/>
        <v/>
      </c>
      <c r="AT144" s="39" t="str">
        <f t="shared" si="73"/>
        <v/>
      </c>
      <c r="AU144" s="42" t="str">
        <f t="shared" si="74"/>
        <v/>
      </c>
      <c r="AX144">
        <f>HLOOKUP($AX$9&amp;$AX$10,Data!$A$1:$ZT$1975,(MATCH($C144,Data!$A$1:$A$1975,0)),FALSE)</f>
        <v>50</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90.909090909090907</v>
      </c>
      <c r="G145" s="15"/>
      <c r="H145" s="41" t="str">
        <f t="shared" si="68"/>
        <v/>
      </c>
      <c r="I145" s="73" t="str">
        <f>IF(H145="","",IF($I$8="A",(RANK(H145,H$11:H$333,1)+COUNTIF(H$11:H145,H145)-1),(RANK(H145,H$11:H$333)+COUNTIF(H$11:H145,H145)-1)))</f>
        <v/>
      </c>
      <c r="J145" s="40"/>
      <c r="K145" s="35">
        <f t="shared" si="75"/>
        <v>135</v>
      </c>
      <c r="L145" t="str">
        <f t="shared" si="69"/>
        <v>East Staffordshire</v>
      </c>
      <c r="M145" s="109">
        <f t="shared" si="70"/>
        <v>71.428571428571431</v>
      </c>
      <c r="N145" s="104">
        <f t="shared" si="55"/>
        <v>71.428571428571431</v>
      </c>
      <c r="O145" s="89" t="str">
        <f t="shared" si="56"/>
        <v/>
      </c>
      <c r="P145" s="89" t="str">
        <f t="shared" si="57"/>
        <v/>
      </c>
      <c r="Q145" s="89" t="str">
        <f t="shared" si="58"/>
        <v/>
      </c>
      <c r="R145" s="85">
        <f t="shared" si="59"/>
        <v>71.428571428571431</v>
      </c>
      <c r="S145" s="41" t="str">
        <f t="shared" si="60"/>
        <v/>
      </c>
      <c r="T145" s="166">
        <f>IF(L145="","",VLOOKUP(L145,classifications!C:K,9,FALSE))</f>
        <v>0</v>
      </c>
      <c r="U145" s="167" t="str">
        <f t="shared" si="61"/>
        <v/>
      </c>
      <c r="V145" s="173" t="str">
        <f>IF(U145="","",IF($I$8="A",(RANK(U145,U$11:U$333)+COUNTIF(U$11:U145,U145)-1),(RANK(U145,U$11:U$333,1)+COUNTIF(U$11:U145,U145)-1)))</f>
        <v/>
      </c>
      <c r="W145" s="174"/>
      <c r="X145" s="5" t="str">
        <f>IF(L145="","",VLOOKUP($L145,classifications!$C:$J,6,FALSE))</f>
        <v>Urban with Significant Rural</v>
      </c>
      <c r="Y145" t="str">
        <f t="shared" si="62"/>
        <v/>
      </c>
      <c r="Z145" s="39" t="str">
        <f>IF(Y145="","",IF(I$8="A",(RANK(Y145,Y$11:Y$333,1)+COUNTIF(Y$11:Y145,Y145)-1),(RANK(Y145,Y$11:Y$333)+COUNTIF(Y$11:Y145,Y145)-1)))</f>
        <v/>
      </c>
      <c r="AA145" s="177" t="str">
        <f>IF(L145="","",VLOOKUP($L145,classifications!C:I,7,FALSE))</f>
        <v>Urban with Significant Rural</v>
      </c>
      <c r="AB145" s="173" t="str">
        <f t="shared" si="63"/>
        <v/>
      </c>
      <c r="AC145" s="173" t="str">
        <f>IF(AB145="","",IF($I$8="A",(RANK(AB145,AB$11:AB$333)+COUNTIF(AB$11:AB145,AB145)-1),(RANK(AB145,AB$11:AB$333,1)+COUNTIF(AB$11:AB145,AB145)-1)))</f>
        <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Staffordshire</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West Midlands</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90.909090909090907</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f t="shared" si="67"/>
        <v>0</v>
      </c>
      <c r="G146" s="15"/>
      <c r="H146" s="41" t="str">
        <f t="shared" si="68"/>
        <v/>
      </c>
      <c r="I146" s="73" t="str">
        <f>IF(H146="","",IF($I$8="A",(RANK(H146,H$11:H$333,1)+COUNTIF(H$11:H146,H146)-1),(RANK(H146,H$11:H$333)+COUNTIF(H$11:H146,H146)-1)))</f>
        <v/>
      </c>
      <c r="J146" s="40"/>
      <c r="K146" s="35">
        <f t="shared" si="75"/>
        <v>136</v>
      </c>
      <c r="L146" t="str">
        <f t="shared" si="69"/>
        <v>Mid Suffolk</v>
      </c>
      <c r="M146" s="109">
        <f t="shared" si="70"/>
        <v>71.428571428571431</v>
      </c>
      <c r="N146" s="104">
        <f t="shared" si="55"/>
        <v>71.428571428571431</v>
      </c>
      <c r="O146" s="89" t="str">
        <f t="shared" si="56"/>
        <v/>
      </c>
      <c r="P146" s="89" t="str">
        <f t="shared" si="57"/>
        <v/>
      </c>
      <c r="Q146" s="89" t="str">
        <f t="shared" si="58"/>
        <v/>
      </c>
      <c r="R146" s="85">
        <f t="shared" si="59"/>
        <v>71.428571428571431</v>
      </c>
      <c r="S146" s="41" t="str">
        <f t="shared" si="60"/>
        <v/>
      </c>
      <c r="T146" s="166" t="str">
        <f>IF(L146="","",VLOOKUP(L146,classifications!C:K,9,FALSE))</f>
        <v>Sparse</v>
      </c>
      <c r="U146" s="167">
        <f t="shared" si="61"/>
        <v>71.428571428571431</v>
      </c>
      <c r="V146" s="173">
        <f>IF(U146="","",IF($I$8="A",(RANK(U146,U$11:U$333)+COUNTIF(U$11:U146,U146)-1),(RANK(U146,U$11:U$333,1)+COUNTIF(U$11:U146,U146)-1)))</f>
        <v>9</v>
      </c>
      <c r="W146" s="174"/>
      <c r="X146" s="5" t="str">
        <f>IF(L146="","",VLOOKUP($L146,classifications!$C:$J,6,FALSE))</f>
        <v xml:space="preserve">Predominantly Rural </v>
      </c>
      <c r="Y146">
        <f t="shared" si="62"/>
        <v>71.428571428571431</v>
      </c>
      <c r="Z146" s="39">
        <f>IF(Y146="","",IF(I$8="A",(RANK(Y146,Y$11:Y$333,1)+COUNTIF(Y$11:Y146,Y146)-1),(RANK(Y146,Y$11:Y$333)+COUNTIF(Y$11:Y146,Y146)-1)))</f>
        <v>53</v>
      </c>
      <c r="AA146" s="177" t="str">
        <f>IF(L146="","",VLOOKUP($L146,classifications!C:I,7,FALSE))</f>
        <v>Predominantly Rural</v>
      </c>
      <c r="AB146" s="173">
        <f t="shared" si="63"/>
        <v>71.428571428571431</v>
      </c>
      <c r="AC146" s="173">
        <f>IF(AB146="","",IF($I$8="A",(RANK(AB146,AB$11:AB$333)+COUNTIF(AB$11:AB146,AB146)-1),(RANK(AB146,AB$11:AB$333,1)+COUNTIF(AB$11:AB146,AB146)-1)))</f>
        <v>7</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Suffolk</v>
      </c>
      <c r="AJ146" s="42">
        <f t="shared" si="65"/>
        <v>71.428571428571431</v>
      </c>
      <c r="AK146" s="39">
        <f>IF(AJ146="","",IF(I$8="A",(RANK(AJ146,AJ$11:AJ$333,1)+COUNTIF(AJ$11:AJ146,AJ146)-1),(RANK(AJ146,AJ$11:AJ$333)+COUNTIF(AJ$11:AJ146,AJ146)-1)))</f>
        <v>4</v>
      </c>
      <c r="AL146" s="3" t="str">
        <f t="shared" si="77"/>
        <v/>
      </c>
      <c r="AM146" t="str">
        <f t="shared" si="71"/>
        <v/>
      </c>
      <c r="AN146" t="str">
        <f t="shared" si="72"/>
        <v/>
      </c>
      <c r="AP146" s="5" t="str">
        <f>IF(L146="","",VLOOKUP($L146,classifications!$C:$E,3,FALSE))</f>
        <v>East of England</v>
      </c>
      <c r="AQ146" s="42">
        <f t="shared" si="66"/>
        <v>71.428571428571431</v>
      </c>
      <c r="AR146" s="39">
        <f>IF(AQ146="","",IF(I$8="A",(RANK(AQ146,AQ$11:AQ$333,1)+COUNTIF(AQ$11:AQ146,AQ146)-1),(RANK(AQ146,AQ$11:AQ$333)+COUNTIF(AQ$11:AQ146,AQ146)-1)))</f>
        <v>34</v>
      </c>
      <c r="AS146" s="3" t="str">
        <f t="shared" si="78"/>
        <v/>
      </c>
      <c r="AT146" s="39" t="str">
        <f t="shared" si="73"/>
        <v/>
      </c>
      <c r="AU146" s="42" t="str">
        <f t="shared" si="74"/>
        <v/>
      </c>
      <c r="AX146">
        <f>HLOOKUP($AX$9&amp;$AX$10,Data!$A$1:$ZT$1975,(MATCH($C146,Data!$A$1:$A$1975,0)),FALSE)</f>
        <v>0</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100</v>
      </c>
      <c r="G147" s="15"/>
      <c r="H147" s="41" t="str">
        <f t="shared" si="68"/>
        <v/>
      </c>
      <c r="I147" s="73" t="str">
        <f>IF(H147="","",IF($I$8="A",(RANK(H147,H$11:H$333,1)+COUNTIF(H$11:H147,H147)-1),(RANK(H147,H$11:H$333)+COUNTIF(H$11:H147,H147)-1)))</f>
        <v/>
      </c>
      <c r="J147" s="40"/>
      <c r="K147" s="35">
        <f t="shared" si="75"/>
        <v>137</v>
      </c>
      <c r="L147" t="str">
        <f t="shared" si="69"/>
        <v>Winchester</v>
      </c>
      <c r="M147" s="109">
        <f t="shared" si="70"/>
        <v>71.428571428571431</v>
      </c>
      <c r="N147" s="104">
        <f t="shared" si="55"/>
        <v>71.428571428571431</v>
      </c>
      <c r="O147" s="89" t="str">
        <f t="shared" si="56"/>
        <v/>
      </c>
      <c r="P147" s="89" t="str">
        <f t="shared" si="57"/>
        <v/>
      </c>
      <c r="Q147" s="89" t="str">
        <f t="shared" si="58"/>
        <v/>
      </c>
      <c r="R147" s="85">
        <f t="shared" si="59"/>
        <v>71.428571428571431</v>
      </c>
      <c r="S147" s="41" t="str">
        <f t="shared" si="60"/>
        <v/>
      </c>
      <c r="T147" s="166">
        <f>IF(L147="","",VLOOKUP(L147,classifications!C:K,9,FALSE))</f>
        <v>0</v>
      </c>
      <c r="U147" s="167" t="str">
        <f t="shared" si="61"/>
        <v/>
      </c>
      <c r="V147" s="173" t="str">
        <f>IF(U147="","",IF($I$8="A",(RANK(U147,U$11:U$333)+COUNTIF(U$11:U147,U147)-1),(RANK(U147,U$11:U$333,1)+COUNTIF(U$11:U147,U147)-1)))</f>
        <v/>
      </c>
      <c r="W147" s="174"/>
      <c r="X147" s="5" t="str">
        <f>IF(L147="","",VLOOKUP($L147,classifications!$C:$J,6,FALSE))</f>
        <v xml:space="preserve">Predominantly Rural </v>
      </c>
      <c r="Y147">
        <f t="shared" si="62"/>
        <v>71.428571428571431</v>
      </c>
      <c r="Z147" s="39">
        <f>IF(Y147="","",IF(I$8="A",(RANK(Y147,Y$11:Y$333,1)+COUNTIF(Y$11:Y147,Y147)-1),(RANK(Y147,Y$11:Y$333)+COUNTIF(Y$11:Y147,Y147)-1)))</f>
        <v>54</v>
      </c>
      <c r="AA147" s="177" t="str">
        <f>IF(L147="","",VLOOKUP($L147,classifications!C:I,7,FALSE))</f>
        <v>Predominantly Rural</v>
      </c>
      <c r="AB147" s="173">
        <f t="shared" si="63"/>
        <v>71.428571428571431</v>
      </c>
      <c r="AC147" s="173">
        <f>IF(AB147="","",IF($I$8="A",(RANK(AB147,AB$11:AB$333)+COUNTIF(AB$11:AB147,AB147)-1),(RANK(AB147,AB$11:AB$333,1)+COUNTIF(AB$11:AB147,AB147)-1)))</f>
        <v>8</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Hampshire</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South East</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100</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100</v>
      </c>
      <c r="G148" s="15"/>
      <c r="H148" s="41" t="str">
        <f t="shared" si="68"/>
        <v/>
      </c>
      <c r="I148" s="73" t="str">
        <f>IF(H148="","",IF($I$8="A",(RANK(H148,H$11:H$333,1)+COUNTIF(H$11:H148,H148)-1),(RANK(H148,H$11:H$333)+COUNTIF(H$11:H148,H148)-1)))</f>
        <v/>
      </c>
      <c r="J148" s="40"/>
      <c r="K148" s="35">
        <f t="shared" si="75"/>
        <v>138</v>
      </c>
      <c r="L148" t="str">
        <f t="shared" si="69"/>
        <v>Wyre</v>
      </c>
      <c r="M148" s="109">
        <f t="shared" si="70"/>
        <v>71.428571428571431</v>
      </c>
      <c r="N148" s="104">
        <f t="shared" si="55"/>
        <v>71.428571428571431</v>
      </c>
      <c r="O148" s="89" t="str">
        <f t="shared" si="56"/>
        <v/>
      </c>
      <c r="P148" s="89" t="str">
        <f t="shared" si="57"/>
        <v/>
      </c>
      <c r="Q148" s="89" t="str">
        <f t="shared" si="58"/>
        <v/>
      </c>
      <c r="R148" s="85">
        <f t="shared" si="59"/>
        <v>71.428571428571431</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 xml:space="preserve">Predominantly Rural </v>
      </c>
      <c r="Y148">
        <f t="shared" si="62"/>
        <v>71.428571428571431</v>
      </c>
      <c r="Z148" s="39">
        <f>IF(Y148="","",IF(I$8="A",(RANK(Y148,Y$11:Y$333,1)+COUNTIF(Y$11:Y148,Y148)-1),(RANK(Y148,Y$11:Y$333)+COUNTIF(Y$11:Y148,Y148)-1)))</f>
        <v>55</v>
      </c>
      <c r="AA148" s="177" t="str">
        <f>IF(L148="","",VLOOKUP($L148,classifications!C:I,7,FALSE))</f>
        <v>Predominantly Rural</v>
      </c>
      <c r="AB148" s="173">
        <f t="shared" si="63"/>
        <v>71.428571428571431</v>
      </c>
      <c r="AC148" s="173">
        <f>IF(AB148="","",IF($I$8="A",(RANK(AB148,AB$11:AB$333)+COUNTIF(AB$11:AB148,AB148)-1),(RANK(AB148,AB$11:AB$333,1)+COUNTIF(AB$11:AB148,AB148)-1)))</f>
        <v>9</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Lancashire</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North West</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100</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Teignbridge</v>
      </c>
      <c r="M149" s="109">
        <f t="shared" si="70"/>
        <v>69.230769230769226</v>
      </c>
      <c r="N149" s="104">
        <f t="shared" si="55"/>
        <v>69.230769230769226</v>
      </c>
      <c r="O149" s="89" t="str">
        <f t="shared" si="56"/>
        <v/>
      </c>
      <c r="P149" s="89" t="str">
        <f t="shared" si="57"/>
        <v/>
      </c>
      <c r="Q149" s="89" t="str">
        <f t="shared" si="58"/>
        <v/>
      </c>
      <c r="R149" s="85">
        <f t="shared" si="59"/>
        <v>69.230769230769226</v>
      </c>
      <c r="S149" s="41" t="str">
        <f t="shared" si="60"/>
        <v/>
      </c>
      <c r="T149" s="166" t="str">
        <f>IF(L149="","",VLOOKUP(L149,classifications!C:K,9,FALSE))</f>
        <v>Sparse</v>
      </c>
      <c r="U149" s="167">
        <f t="shared" si="61"/>
        <v>69.230769230769226</v>
      </c>
      <c r="V149" s="173">
        <f>IF(U149="","",IF($I$8="A",(RANK(U149,U$11:U$333)+COUNTIF(U$11:U149,U149)-1),(RANK(U149,U$11:U$333,1)+COUNTIF(U$11:U149,U149)-1)))</f>
        <v>6</v>
      </c>
      <c r="W149" s="174"/>
      <c r="X149" s="5" t="str">
        <f>IF(L149="","",VLOOKUP($L149,classifications!$C:$J,6,FALSE))</f>
        <v xml:space="preserve">Predominantly Rural </v>
      </c>
      <c r="Y149">
        <f t="shared" si="62"/>
        <v>69.230769230769226</v>
      </c>
      <c r="Z149" s="39">
        <f>IF(Y149="","",IF(I$8="A",(RANK(Y149,Y$11:Y$333,1)+COUNTIF(Y$11:Y149,Y149)-1),(RANK(Y149,Y$11:Y$333)+COUNTIF(Y$11:Y149,Y149)-1)))</f>
        <v>56</v>
      </c>
      <c r="AA149" s="177" t="str">
        <f>IF(L149="","",VLOOKUP($L149,classifications!C:I,7,FALSE))</f>
        <v>Predominantly Rural</v>
      </c>
      <c r="AB149" s="173">
        <f t="shared" si="63"/>
        <v>69.230769230769226</v>
      </c>
      <c r="AC149" s="173">
        <f>IF(AB149="","",IF($I$8="A",(RANK(AB149,AB$11:AB$333)+COUNTIF(AB$11:AB149,AB149)-1),(RANK(AB149,AB$11:AB$333,1)+COUNTIF(AB$11:AB149,AB149)-1)))</f>
        <v>4</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Devon</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South West</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94.444444444444443</v>
      </c>
      <c r="G150" s="15"/>
      <c r="H150" s="41">
        <f t="shared" si="68"/>
        <v>94.444444444444443</v>
      </c>
      <c r="I150" s="73">
        <f>IF(H150="","",IF($I$8="A",(RANK(H150,H$11:H$333,1)+COUNTIF(H$11:H150,H150)-1),(RANK(H150,H$11:H$333)+COUNTIF(H$11:H150,H150)-1)))</f>
        <v>84</v>
      </c>
      <c r="J150" s="40"/>
      <c r="K150" s="35">
        <f t="shared" si="75"/>
        <v>140</v>
      </c>
      <c r="L150" t="str">
        <f t="shared" si="69"/>
        <v>Cannock Chase</v>
      </c>
      <c r="M150" s="109">
        <f t="shared" si="70"/>
        <v>66.666666666666657</v>
      </c>
      <c r="N150" s="104">
        <f t="shared" si="55"/>
        <v>66.666666666666657</v>
      </c>
      <c r="O150" s="89" t="str">
        <f t="shared" si="56"/>
        <v/>
      </c>
      <c r="P150" s="89" t="str">
        <f t="shared" si="57"/>
        <v/>
      </c>
      <c r="Q150" s="89" t="str">
        <f t="shared" si="58"/>
        <v/>
      </c>
      <c r="R150" s="85">
        <f t="shared" si="59"/>
        <v>66.666666666666657</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Urban with Significant Rural</v>
      </c>
      <c r="Y150" t="str">
        <f t="shared" si="62"/>
        <v/>
      </c>
      <c r="Z150" s="39" t="str">
        <f>IF(Y150="","",IF(I$8="A",(RANK(Y150,Y$11:Y$333,1)+COUNTIF(Y$11:Y150,Y150)-1),(RANK(Y150,Y$11:Y$333)+COUNTIF(Y$11:Y150,Y150)-1)))</f>
        <v/>
      </c>
      <c r="AA150" s="177" t="str">
        <f>IF(L150="","",VLOOKUP($L150,classifications!C:I,7,FALSE))</f>
        <v>Urban with Significant Rural</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Staffordshire</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West Midlands</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94.444444444444443</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100</v>
      </c>
      <c r="G151" s="15"/>
      <c r="H151" s="41" t="str">
        <f t="shared" si="68"/>
        <v/>
      </c>
      <c r="I151" s="73" t="str">
        <f>IF(H151="","",IF($I$8="A",(RANK(H151,H$11:H$333,1)+COUNTIF(H$11:H151,H151)-1),(RANK(H151,H$11:H$333)+COUNTIF(H$11:H151,H151)-1)))</f>
        <v/>
      </c>
      <c r="J151" s="40"/>
      <c r="K151" s="35">
        <f t="shared" si="75"/>
        <v>141</v>
      </c>
      <c r="L151" t="str">
        <f t="shared" si="69"/>
        <v>Castle Point</v>
      </c>
      <c r="M151" s="109">
        <f t="shared" si="70"/>
        <v>66.666666666666657</v>
      </c>
      <c r="N151" s="104">
        <f t="shared" si="55"/>
        <v>66.666666666666657</v>
      </c>
      <c r="O151" s="89" t="str">
        <f t="shared" si="56"/>
        <v/>
      </c>
      <c r="P151" s="89" t="str">
        <f t="shared" si="57"/>
        <v/>
      </c>
      <c r="Q151" s="89" t="str">
        <f t="shared" si="58"/>
        <v/>
      </c>
      <c r="R151" s="85">
        <f t="shared" si="59"/>
        <v>66.666666666666657</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Predominantly Urban</v>
      </c>
      <c r="Y151" t="str">
        <f t="shared" si="62"/>
        <v/>
      </c>
      <c r="Z151" s="39" t="str">
        <f>IF(Y151="","",IF(I$8="A",(RANK(Y151,Y$11:Y$333,1)+COUNTIF(Y$11:Y151,Y151)-1),(RANK(Y151,Y$11:Y$333)+COUNTIF(Y$11:Y151,Y151)-1)))</f>
        <v/>
      </c>
      <c r="AA151" s="177" t="str">
        <f>IF(L151="","",VLOOKUP($L151,classifications!C:I,7,FALSE))</f>
        <v>Predominantly Urban</v>
      </c>
      <c r="AB151" s="173" t="str">
        <f t="shared" si="63"/>
        <v/>
      </c>
      <c r="AC151" s="173" t="str">
        <f>IF(AB151="","",IF($I$8="A",(RANK(AB151,AB$11:AB$333)+COUNTIF(AB$11:AB151,AB151)-1),(RANK(AB151,AB$11:AB$333,1)+COUNTIF(AB$11:AB151,AB151)-1)))</f>
        <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Essex</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East of England</v>
      </c>
      <c r="AQ151" s="42">
        <f t="shared" si="66"/>
        <v>66.666666666666657</v>
      </c>
      <c r="AR151" s="39">
        <f>IF(AQ151="","",IF(I$8="A",(RANK(AQ151,AQ$11:AQ$333,1)+COUNTIF(AQ$11:AQ151,AQ151)-1),(RANK(AQ151,AQ$11:AQ$333)+COUNTIF(AQ$11:AQ151,AQ151)-1)))</f>
        <v>35</v>
      </c>
      <c r="AS151" s="3" t="str">
        <f t="shared" si="78"/>
        <v/>
      </c>
      <c r="AT151" s="39" t="str">
        <f t="shared" si="73"/>
        <v/>
      </c>
      <c r="AU151" s="42" t="str">
        <f t="shared" si="74"/>
        <v/>
      </c>
      <c r="AX151">
        <f>HLOOKUP($AX$9&amp;$AX$10,Data!$A$1:$ZT$1975,(MATCH($C151,Data!$A$1:$A$1975,0)),FALSE)</f>
        <v>100</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100</v>
      </c>
      <c r="G152" s="15"/>
      <c r="H152" s="41" t="str">
        <f t="shared" si="68"/>
        <v/>
      </c>
      <c r="I152" s="73" t="str">
        <f>IF(H152="","",IF($I$8="A",(RANK(H152,H$11:H$333,1)+COUNTIF(H$11:H152,H152)-1),(RANK(H152,H$11:H$333)+COUNTIF(H$11:H152,H152)-1)))</f>
        <v/>
      </c>
      <c r="J152" s="40"/>
      <c r="K152" s="35">
        <f t="shared" si="75"/>
        <v>142</v>
      </c>
      <c r="L152" t="str">
        <f t="shared" si="69"/>
        <v>Harlow</v>
      </c>
      <c r="M152" s="109">
        <f t="shared" si="70"/>
        <v>66.666666666666657</v>
      </c>
      <c r="N152" s="104">
        <f t="shared" si="55"/>
        <v>66.666666666666657</v>
      </c>
      <c r="O152" s="89" t="str">
        <f t="shared" si="56"/>
        <v/>
      </c>
      <c r="P152" s="89" t="str">
        <f t="shared" si="57"/>
        <v/>
      </c>
      <c r="Q152" s="89" t="str">
        <f t="shared" si="58"/>
        <v/>
      </c>
      <c r="R152" s="85">
        <f t="shared" si="59"/>
        <v>66.666666666666657</v>
      </c>
      <c r="S152" s="41" t="str">
        <f t="shared" si="60"/>
        <v/>
      </c>
      <c r="T152" s="166">
        <f>IF(L152="","",VLOOKUP(L152,classifications!C:K,9,FALSE))</f>
        <v>0</v>
      </c>
      <c r="U152" s="167" t="str">
        <f t="shared" si="61"/>
        <v/>
      </c>
      <c r="V152" s="173" t="str">
        <f>IF(U152="","",IF($I$8="A",(RANK(U152,U$11:U$333)+COUNTIF(U$11:U152,U152)-1),(RANK(U152,U$11:U$333,1)+COUNTIF(U$11:U152,U152)-1)))</f>
        <v/>
      </c>
      <c r="W152" s="174"/>
      <c r="X152" s="5" t="str">
        <f>IF(L152="","",VLOOKUP($L152,classifications!$C:$J,6,FALSE))</f>
        <v>Predominantly Urban</v>
      </c>
      <c r="Y152" t="str">
        <f t="shared" si="62"/>
        <v/>
      </c>
      <c r="Z152" s="39" t="str">
        <f>IF(Y152="","",IF(I$8="A",(RANK(Y152,Y$11:Y$333,1)+COUNTIF(Y$11:Y152,Y152)-1),(RANK(Y152,Y$11:Y$333)+COUNTIF(Y$11:Y152,Y152)-1)))</f>
        <v/>
      </c>
      <c r="AA152" s="177" t="str">
        <f>IF(L152="","",VLOOKUP($L152,classifications!C:I,7,FALSE))</f>
        <v>Predominantly Urban</v>
      </c>
      <c r="AB152" s="173" t="str">
        <f t="shared" si="63"/>
        <v/>
      </c>
      <c r="AC152" s="173" t="str">
        <f>IF(AB152="","",IF($I$8="A",(RANK(AB152,AB$11:AB$333)+COUNTIF(AB$11:AB152,AB152)-1),(RANK(AB152,AB$11:AB$333,1)+COUNTIF(AB$11:AB152,AB152)-1)))</f>
        <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Essex</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East of England</v>
      </c>
      <c r="AQ152" s="42">
        <f t="shared" si="66"/>
        <v>66.666666666666657</v>
      </c>
      <c r="AR152" s="39">
        <f>IF(AQ152="","",IF(I$8="A",(RANK(AQ152,AQ$11:AQ$333,1)+COUNTIF(AQ$11:AQ152,AQ152)-1),(RANK(AQ152,AQ$11:AQ$333)+COUNTIF(AQ$11:AQ152,AQ152)-1)))</f>
        <v>36</v>
      </c>
      <c r="AS152" s="3" t="str">
        <f t="shared" si="78"/>
        <v/>
      </c>
      <c r="AT152" s="39" t="str">
        <f t="shared" si="73"/>
        <v/>
      </c>
      <c r="AU152" s="42" t="str">
        <f t="shared" si="74"/>
        <v/>
      </c>
      <c r="AX152">
        <f>HLOOKUP($AX$9&amp;$AX$10,Data!$A$1:$ZT$1975,(MATCH($C152,Data!$A$1:$A$1975,0)),FALSE)</f>
        <v>100</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100</v>
      </c>
      <c r="G153" s="15"/>
      <c r="H153" s="41" t="str">
        <f t="shared" si="68"/>
        <v/>
      </c>
      <c r="I153" s="73" t="str">
        <f>IF(H153="","",IF($I$8="A",(RANK(H153,H$11:H$333,1)+COUNTIF(H$11:H153,H153)-1),(RANK(H153,H$11:H$333)+COUNTIF(H$11:H153,H153)-1)))</f>
        <v/>
      </c>
      <c r="J153" s="40"/>
      <c r="K153" s="35">
        <f t="shared" si="75"/>
        <v>143</v>
      </c>
      <c r="L153" t="str">
        <f t="shared" si="69"/>
        <v>North Hertfordshire</v>
      </c>
      <c r="M153" s="109">
        <f t="shared" si="70"/>
        <v>66.666666666666657</v>
      </c>
      <c r="N153" s="104">
        <f t="shared" si="55"/>
        <v>66.666666666666657</v>
      </c>
      <c r="O153" s="89" t="str">
        <f t="shared" si="56"/>
        <v/>
      </c>
      <c r="P153" s="89" t="str">
        <f t="shared" si="57"/>
        <v/>
      </c>
      <c r="Q153" s="89" t="str">
        <f t="shared" si="58"/>
        <v/>
      </c>
      <c r="R153" s="85">
        <f t="shared" si="59"/>
        <v>66.666666666666657</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Urban with Significant Rural</v>
      </c>
      <c r="Y153" t="str">
        <f t="shared" si="62"/>
        <v/>
      </c>
      <c r="Z153" s="39" t="str">
        <f>IF(Y153="","",IF(I$8="A",(RANK(Y153,Y$11:Y$333,1)+COUNTIF(Y$11:Y153,Y153)-1),(RANK(Y153,Y$11:Y$333)+COUNTIF(Y$11:Y153,Y153)-1)))</f>
        <v/>
      </c>
      <c r="AA153" s="177" t="str">
        <f>IF(L153="","",VLOOKUP($L153,classifications!C:I,7,FALSE))</f>
        <v>Urban with Significant Rural</v>
      </c>
      <c r="AB153" s="173" t="str">
        <f t="shared" si="63"/>
        <v/>
      </c>
      <c r="AC153" s="173" t="str">
        <f>IF(AB153="","",IF($I$8="A",(RANK(AB153,AB$11:AB$333)+COUNTIF(AB$11:AB153,AB153)-1),(RANK(AB153,AB$11:AB$333,1)+COUNTIF(AB$11:AB153,AB153)-1)))</f>
        <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Hertfordshire</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East of England</v>
      </c>
      <c r="AQ153" s="42">
        <f t="shared" si="66"/>
        <v>66.666666666666657</v>
      </c>
      <c r="AR153" s="39">
        <f>IF(AQ153="","",IF(I$8="A",(RANK(AQ153,AQ$11:AQ$333,1)+COUNTIF(AQ$11:AQ153,AQ153)-1),(RANK(AQ153,AQ$11:AQ$333)+COUNTIF(AQ$11:AQ153,AQ153)-1)))</f>
        <v>37</v>
      </c>
      <c r="AS153" s="3" t="str">
        <f t="shared" si="78"/>
        <v/>
      </c>
      <c r="AT153" s="39" t="str">
        <f t="shared" si="73"/>
        <v/>
      </c>
      <c r="AU153" s="42" t="str">
        <f t="shared" si="74"/>
        <v/>
      </c>
      <c r="AX153">
        <f>HLOOKUP($AX$9&amp;$AX$10,Data!$A$1:$ZT$1975,(MATCH($C153,Data!$A$1:$A$1975,0)),FALSE)</f>
        <v>100</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f t="shared" si="75"/>
        <v>144</v>
      </c>
      <c r="L154" t="str">
        <f t="shared" si="69"/>
        <v>Nuneaton &amp; Bedworth</v>
      </c>
      <c r="M154" s="109">
        <f t="shared" si="70"/>
        <v>66.666666666666657</v>
      </c>
      <c r="N154" s="104">
        <f t="shared" si="55"/>
        <v>66.666666666666657</v>
      </c>
      <c r="O154" s="89" t="str">
        <f t="shared" si="56"/>
        <v/>
      </c>
      <c r="P154" s="89" t="str">
        <f t="shared" si="57"/>
        <v/>
      </c>
      <c r="Q154" s="89" t="str">
        <f t="shared" si="58"/>
        <v/>
      </c>
      <c r="R154" s="85">
        <f t="shared" si="59"/>
        <v>66.666666666666657</v>
      </c>
      <c r="S154" s="41" t="str">
        <f t="shared" si="60"/>
        <v/>
      </c>
      <c r="T154" s="166">
        <f>IF(L154="","",VLOOKUP(L154,classifications!C:K,9,FALSE))</f>
        <v>0</v>
      </c>
      <c r="U154" s="167" t="str">
        <f t="shared" si="61"/>
        <v/>
      </c>
      <c r="V154" s="173" t="str">
        <f>IF(U154="","",IF($I$8="A",(RANK(U154,U$11:U$333)+COUNTIF(U$11:U154,U154)-1),(RANK(U154,U$11:U$333,1)+COUNTIF(U$11:U154,U154)-1)))</f>
        <v/>
      </c>
      <c r="W154" s="174"/>
      <c r="X154" s="5" t="str">
        <f>IF(L154="","",VLOOKUP($L154,classifications!$C:$J,6,FALSE))</f>
        <v>Predominantly Urban</v>
      </c>
      <c r="Y154" t="str">
        <f t="shared" si="62"/>
        <v/>
      </c>
      <c r="Z154" s="39" t="str">
        <f>IF(Y154="","",IF(I$8="A",(RANK(Y154,Y$11:Y$333,1)+COUNTIF(Y$11:Y154,Y154)-1),(RANK(Y154,Y$11:Y$333)+COUNTIF(Y$11:Y154,Y154)-1)))</f>
        <v/>
      </c>
      <c r="AA154" s="177" t="str">
        <f>IF(L154="","",VLOOKUP($L154,classifications!C:I,7,FALSE))</f>
        <v>Predominantly Urban</v>
      </c>
      <c r="AB154" s="173" t="str">
        <f t="shared" si="63"/>
        <v/>
      </c>
      <c r="AC154" s="173" t="str">
        <f>IF(AB154="","",IF($I$8="A",(RANK(AB154,AB$11:AB$333)+COUNTIF(AB$11:AB154,AB154)-1),(RANK(AB154,AB$11:AB$333,1)+COUNTIF(AB$11:AB154,AB154)-1)))</f>
        <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Warwickshire</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West Midlands</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f t="shared" si="75"/>
        <v>145</v>
      </c>
      <c r="L155" t="str">
        <f t="shared" si="69"/>
        <v>Rugby</v>
      </c>
      <c r="M155" s="109">
        <f t="shared" si="70"/>
        <v>66.666666666666657</v>
      </c>
      <c r="N155" s="104">
        <f t="shared" si="55"/>
        <v>66.666666666666657</v>
      </c>
      <c r="O155" s="89" t="str">
        <f t="shared" si="56"/>
        <v/>
      </c>
      <c r="P155" s="89" t="str">
        <f t="shared" si="57"/>
        <v/>
      </c>
      <c r="Q155" s="89" t="str">
        <f t="shared" si="58"/>
        <v/>
      </c>
      <c r="R155" s="85">
        <f t="shared" si="59"/>
        <v>66.666666666666657</v>
      </c>
      <c r="S155" s="41" t="str">
        <f t="shared" si="60"/>
        <v/>
      </c>
      <c r="T155" s="166" t="str">
        <f>IF(L155="","",VLOOKUP(L155,classifications!C:K,9,FALSE))</f>
        <v>Sparse</v>
      </c>
      <c r="U155" s="167">
        <f t="shared" si="61"/>
        <v>66.666666666666657</v>
      </c>
      <c r="V155" s="173">
        <f>IF(U155="","",IF($I$8="A",(RANK(U155,U$11:U$333)+COUNTIF(U$11:U155,U155)-1),(RANK(U155,U$11:U$333,1)+COUNTIF(U$11:U155,U155)-1)))</f>
        <v>5</v>
      </c>
      <c r="W155" s="174"/>
      <c r="X155" s="5" t="str">
        <f>IF(L155="","",VLOOKUP($L155,classifications!$C:$J,6,FALSE))</f>
        <v>Predominantly Urban</v>
      </c>
      <c r="Y155" t="str">
        <f t="shared" si="62"/>
        <v/>
      </c>
      <c r="Z155" s="39" t="str">
        <f>IF(Y155="","",IF(I$8="A",(RANK(Y155,Y$11:Y$333,1)+COUNTIF(Y$11:Y155,Y155)-1),(RANK(Y155,Y$11:Y$333)+COUNTIF(Y$11:Y155,Y155)-1)))</f>
        <v/>
      </c>
      <c r="AA155" s="177" t="str">
        <f>IF(L155="","",VLOOKUP($L155,classifications!C:I,7,FALSE))</f>
        <v>Predominantly Urban</v>
      </c>
      <c r="AB155" s="173" t="str">
        <f t="shared" si="63"/>
        <v/>
      </c>
      <c r="AC155" s="173" t="str">
        <f>IF(AB155="","",IF($I$8="A",(RANK(AB155,AB$11:AB$333)+COUNTIF(AB$11:AB155,AB155)-1),(RANK(AB155,AB$11:AB$333,1)+COUNTIF(AB$11:AB155,AB155)-1)))</f>
        <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Warwickshire</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West Midlands</v>
      </c>
      <c r="AQ155" s="42" t="str">
        <f t="shared" si="66"/>
        <v/>
      </c>
      <c r="AR155" s="39" t="str">
        <f>IF(AQ155="","",IF(I$8="A",(RANK(AQ155,AQ$11:AQ$333,1)+COUNTIF(AQ$11:AQ155,AQ155)-1),(RANK(AQ155,AQ$11:AQ$333)+COUNTIF(AQ$11:AQ155,AQ155)-1)))</f>
        <v/>
      </c>
      <c r="AS155" s="3" t="str">
        <f t="shared" si="78"/>
        <v/>
      </c>
      <c r="AT155" s="39" t="str">
        <f t="shared" si="73"/>
        <v/>
      </c>
      <c r="AU155" s="42" t="str">
        <f t="shared" si="74"/>
        <v/>
      </c>
      <c r="AX155">
        <f>HLOOKUP($AX$9&amp;$AX$10,Data!$A$1:$ZT$1975,(MATCH($C155,Data!$A$1:$A$1975,0)),FALSE)</f>
        <v>100</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Lichfield</v>
      </c>
      <c r="M156" s="109">
        <f t="shared" si="70"/>
        <v>62.5</v>
      </c>
      <c r="N156" s="104">
        <f t="shared" si="55"/>
        <v>62.5</v>
      </c>
      <c r="O156" s="89" t="str">
        <f t="shared" si="56"/>
        <v/>
      </c>
      <c r="P156" s="89" t="str">
        <f t="shared" si="57"/>
        <v/>
      </c>
      <c r="Q156" s="89" t="str">
        <f t="shared" si="58"/>
        <v/>
      </c>
      <c r="R156" s="85">
        <f t="shared" si="59"/>
        <v>62.5</v>
      </c>
      <c r="S156" s="41" t="str">
        <f t="shared" si="60"/>
        <v/>
      </c>
      <c r="T156" s="166" t="str">
        <f>IF(L156="","",VLOOKUP(L156,classifications!C:K,9,FALSE))</f>
        <v>Sparse</v>
      </c>
      <c r="U156" s="167">
        <f t="shared" si="61"/>
        <v>62.5</v>
      </c>
      <c r="V156" s="173">
        <f>IF(U156="","",IF($I$8="A",(RANK(U156,U$11:U$333)+COUNTIF(U$11:U156,U156)-1),(RANK(U156,U$11:U$333,1)+COUNTIF(U$11:U156,U156)-1)))</f>
        <v>3</v>
      </c>
      <c r="W156" s="174"/>
      <c r="X156" s="5" t="str">
        <f>IF(L156="","",VLOOKUP($L156,classifications!$C:$J,6,FALSE))</f>
        <v>Urban with Significant Rural</v>
      </c>
      <c r="Y156" t="str">
        <f t="shared" si="62"/>
        <v/>
      </c>
      <c r="Z156" s="39" t="str">
        <f>IF(Y156="","",IF(I$8="A",(RANK(Y156,Y$11:Y$333,1)+COUNTIF(Y$11:Y156,Y156)-1),(RANK(Y156,Y$11:Y$333)+COUNTIF(Y$11:Y156,Y156)-1)))</f>
        <v/>
      </c>
      <c r="AA156" s="177" t="str">
        <f>IF(L156="","",VLOOKUP($L156,classifications!C:I,7,FALSE))</f>
        <v>Urban with Significant Rural</v>
      </c>
      <c r="AB156" s="173" t="str">
        <f t="shared" si="63"/>
        <v/>
      </c>
      <c r="AC156" s="173" t="str">
        <f>IF(AB156="","",IF($I$8="A",(RANK(AB156,AB$11:AB$333)+COUNTIF(AB$11:AB156,AB156)-1),(RANK(AB156,AB$11:AB$333,1)+COUNTIF(AB$11:AB156,AB156)-1)))</f>
        <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Staffordshire</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West Midlands</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100</v>
      </c>
      <c r="G157" s="15"/>
      <c r="H157" s="41">
        <f t="shared" si="68"/>
        <v>100</v>
      </c>
      <c r="I157" s="73">
        <f>IF(H157="","",IF($I$8="A",(RANK(H157,H$11:H$333,1)+COUNTIF(H$11:H157,H157)-1),(RANK(H157,H$11:H$333)+COUNTIF(H$11:H157,H157)-1)))</f>
        <v>35</v>
      </c>
      <c r="J157" s="40"/>
      <c r="K157" s="35">
        <f t="shared" si="75"/>
        <v>147</v>
      </c>
      <c r="L157" t="str">
        <f t="shared" si="69"/>
        <v>Wychavon</v>
      </c>
      <c r="M157" s="109">
        <f t="shared" si="70"/>
        <v>62.5</v>
      </c>
      <c r="N157" s="104">
        <f t="shared" si="55"/>
        <v>62.5</v>
      </c>
      <c r="O157" s="89" t="str">
        <f t="shared" si="56"/>
        <v/>
      </c>
      <c r="P157" s="89" t="str">
        <f t="shared" si="57"/>
        <v/>
      </c>
      <c r="Q157" s="89" t="str">
        <f t="shared" si="58"/>
        <v/>
      </c>
      <c r="R157" s="85">
        <f t="shared" si="59"/>
        <v>62.5</v>
      </c>
      <c r="S157" s="41" t="str">
        <f t="shared" si="60"/>
        <v/>
      </c>
      <c r="T157" s="166" t="str">
        <f>IF(L157="","",VLOOKUP(L157,classifications!C:K,9,FALSE))</f>
        <v>Sparse</v>
      </c>
      <c r="U157" s="167">
        <f t="shared" si="61"/>
        <v>62.5</v>
      </c>
      <c r="V157" s="173">
        <f>IF(U157="","",IF($I$8="A",(RANK(U157,U$11:U$333)+COUNTIF(U$11:U157,U157)-1),(RANK(U157,U$11:U$333,1)+COUNTIF(U$11:U157,U157)-1)))</f>
        <v>4</v>
      </c>
      <c r="W157" s="174"/>
      <c r="X157" s="5" t="str">
        <f>IF(L157="","",VLOOKUP($L157,classifications!$C:$J,6,FALSE))</f>
        <v xml:space="preserve">Predominantly Rural </v>
      </c>
      <c r="Y157">
        <f t="shared" si="62"/>
        <v>62.5</v>
      </c>
      <c r="Z157" s="39">
        <f>IF(Y157="","",IF(I$8="A",(RANK(Y157,Y$11:Y$333,1)+COUNTIF(Y$11:Y157,Y157)-1),(RANK(Y157,Y$11:Y$333)+COUNTIF(Y$11:Y157,Y157)-1)))</f>
        <v>57</v>
      </c>
      <c r="AA157" s="177" t="str">
        <f>IF(L157="","",VLOOKUP($L157,classifications!C:I,7,FALSE))</f>
        <v>Predominantly Rural</v>
      </c>
      <c r="AB157" s="173">
        <f t="shared" si="63"/>
        <v>62.5</v>
      </c>
      <c r="AC157" s="173">
        <f>IF(AB157="","",IF($I$8="A",(RANK(AB157,AB$11:AB$333)+COUNTIF(AB$11:AB157,AB157)-1),(RANK(AB157,AB$11:AB$333,1)+COUNTIF(AB$11:AB157,AB157)-1)))</f>
        <v>3</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Worcestershire</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West Midlands</v>
      </c>
      <c r="AQ157" s="42" t="str">
        <f t="shared" si="66"/>
        <v/>
      </c>
      <c r="AR157" s="39" t="str">
        <f>IF(AQ157="","",IF(I$8="A",(RANK(AQ157,AQ$11:AQ$333,1)+COUNTIF(AQ$11:AQ157,AQ157)-1),(RANK(AQ157,AQ$11:AQ$333)+COUNTIF(AQ$11:AQ157,AQ157)-1)))</f>
        <v/>
      </c>
      <c r="AS157" s="3" t="str">
        <f t="shared" si="78"/>
        <v/>
      </c>
      <c r="AT157" s="39" t="str">
        <f t="shared" si="73"/>
        <v/>
      </c>
      <c r="AU157" s="42" t="str">
        <f t="shared" si="74"/>
        <v/>
      </c>
      <c r="AX157">
        <f>HLOOKUP($AX$9&amp;$AX$10,Data!$A$1:$ZT$1975,(MATCH($C157,Data!$A$1:$A$1975,0)),FALSE)</f>
        <v>100</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90.909090909090907</v>
      </c>
      <c r="G158" s="15"/>
      <c r="H158" s="41" t="str">
        <f t="shared" si="68"/>
        <v/>
      </c>
      <c r="I158" s="73" t="str">
        <f>IF(H158="","",IF($I$8="A",(RANK(H158,H$11:H$333,1)+COUNTIF(H$11:H158,H158)-1),(RANK(H158,H$11:H$333)+COUNTIF(H$11:H158,H158)-1)))</f>
        <v/>
      </c>
      <c r="J158" s="40"/>
      <c r="K158" s="35">
        <f t="shared" si="75"/>
        <v>148</v>
      </c>
      <c r="L158" t="str">
        <f t="shared" si="69"/>
        <v>Chesterfield</v>
      </c>
      <c r="M158" s="109">
        <f t="shared" si="70"/>
        <v>60</v>
      </c>
      <c r="N158" s="104">
        <f t="shared" si="55"/>
        <v>60</v>
      </c>
      <c r="O158" s="89" t="str">
        <f t="shared" si="56"/>
        <v/>
      </c>
      <c r="P158" s="89" t="str">
        <f t="shared" si="57"/>
        <v/>
      </c>
      <c r="Q158" s="89" t="str">
        <f t="shared" si="58"/>
        <v/>
      </c>
      <c r="R158" s="85">
        <f t="shared" si="59"/>
        <v>60</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Predominantly Urban</v>
      </c>
      <c r="Y158" t="str">
        <f t="shared" si="62"/>
        <v/>
      </c>
      <c r="Z158" s="39" t="str">
        <f>IF(Y158="","",IF(I$8="A",(RANK(Y158,Y$11:Y$333,1)+COUNTIF(Y$11:Y158,Y158)-1),(RANK(Y158,Y$11:Y$333)+COUNTIF(Y$11:Y158,Y158)-1)))</f>
        <v/>
      </c>
      <c r="AA158" s="177" t="str">
        <f>IF(L158="","",VLOOKUP($L158,classifications!C:I,7,FALSE))</f>
        <v>Predominantly Urban</v>
      </c>
      <c r="AB158" s="173" t="str">
        <f t="shared" si="63"/>
        <v/>
      </c>
      <c r="AC158" s="173" t="str">
        <f>IF(AB158="","",IF($I$8="A",(RANK(AB158,AB$11:AB$333)+COUNTIF(AB$11:AB158,AB158)-1),(RANK(AB158,AB$11:AB$333,1)+COUNTIF(AB$11:AB158,AB158)-1)))</f>
        <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Derbyshire</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East Midlands</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90.909090909090907</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100</v>
      </c>
      <c r="G159" s="15"/>
      <c r="H159" s="41" t="str">
        <f t="shared" si="68"/>
        <v/>
      </c>
      <c r="I159" s="73" t="str">
        <f>IF(H159="","",IF($I$8="A",(RANK(H159,H$11:H$333,1)+COUNTIF(H$11:H159,H159)-1),(RANK(H159,H$11:H$333)+COUNTIF(H$11:H159,H159)-1)))</f>
        <v/>
      </c>
      <c r="J159" s="40"/>
      <c r="K159" s="35">
        <f t="shared" si="75"/>
        <v>149</v>
      </c>
      <c r="L159" t="str">
        <f t="shared" si="69"/>
        <v>East Devon</v>
      </c>
      <c r="M159" s="109">
        <f t="shared" si="70"/>
        <v>60</v>
      </c>
      <c r="N159" s="104">
        <f t="shared" si="55"/>
        <v>60</v>
      </c>
      <c r="O159" s="89" t="str">
        <f t="shared" si="56"/>
        <v/>
      </c>
      <c r="P159" s="89" t="str">
        <f t="shared" si="57"/>
        <v/>
      </c>
      <c r="Q159" s="89" t="str">
        <f t="shared" si="58"/>
        <v/>
      </c>
      <c r="R159" s="85">
        <f t="shared" si="59"/>
        <v>60</v>
      </c>
      <c r="S159" s="41" t="str">
        <f t="shared" si="60"/>
        <v/>
      </c>
      <c r="T159" s="166" t="str">
        <f>IF(L159="","",VLOOKUP(L159,classifications!C:K,9,FALSE))</f>
        <v>Sparse</v>
      </c>
      <c r="U159" s="167">
        <f t="shared" si="61"/>
        <v>60</v>
      </c>
      <c r="V159" s="173">
        <f>IF(U159="","",IF($I$8="A",(RANK(U159,U$11:U$333)+COUNTIF(U$11:U159,U159)-1),(RANK(U159,U$11:U$333,1)+COUNTIF(U$11:U159,U159)-1)))</f>
        <v>2</v>
      </c>
      <c r="W159" s="174"/>
      <c r="X159" s="5" t="str">
        <f>IF(L159="","",VLOOKUP($L159,classifications!$C:$J,6,FALSE))</f>
        <v xml:space="preserve">Predominantly Rural </v>
      </c>
      <c r="Y159">
        <f t="shared" si="62"/>
        <v>60</v>
      </c>
      <c r="Z159" s="39">
        <f>IF(Y159="","",IF(I$8="A",(RANK(Y159,Y$11:Y$333,1)+COUNTIF(Y$11:Y159,Y159)-1),(RANK(Y159,Y$11:Y$333)+COUNTIF(Y$11:Y159,Y159)-1)))</f>
        <v>58</v>
      </c>
      <c r="AA159" s="177" t="str">
        <f>IF(L159="","",VLOOKUP($L159,classifications!C:I,7,FALSE))</f>
        <v>Predominantly Rural</v>
      </c>
      <c r="AB159" s="173">
        <f t="shared" si="63"/>
        <v>60</v>
      </c>
      <c r="AC159" s="173">
        <f>IF(AB159="","",IF($I$8="A",(RANK(AB159,AB$11:AB$333)+COUNTIF(AB$11:AB159,AB159)-1),(RANK(AB159,AB$11:AB$333,1)+COUNTIF(AB$11:AB159,AB159)-1)))</f>
        <v>2</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Devon</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South West</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100</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Hart</v>
      </c>
      <c r="M160" s="109">
        <f t="shared" si="70"/>
        <v>60</v>
      </c>
      <c r="N160" s="104">
        <f t="shared" si="55"/>
        <v>60</v>
      </c>
      <c r="O160" s="89" t="str">
        <f t="shared" si="56"/>
        <v/>
      </c>
      <c r="P160" s="89" t="str">
        <f t="shared" si="57"/>
        <v/>
      </c>
      <c r="Q160" s="89" t="str">
        <f t="shared" si="58"/>
        <v/>
      </c>
      <c r="R160" s="85">
        <f t="shared" si="59"/>
        <v>60</v>
      </c>
      <c r="S160" s="41" t="str">
        <f t="shared" si="60"/>
        <v/>
      </c>
      <c r="T160" s="166">
        <f>IF(L160="","",VLOOKUP(L160,classifications!C:K,9,FALSE))</f>
        <v>0</v>
      </c>
      <c r="U160" s="167" t="str">
        <f t="shared" si="61"/>
        <v/>
      </c>
      <c r="V160" s="173" t="str">
        <f>IF(U160="","",IF($I$8="A",(RANK(U160,U$11:U$333)+COUNTIF(U$11:U160,U160)-1),(RANK(U160,U$11:U$333,1)+COUNTIF(U$11:U160,U160)-1)))</f>
        <v/>
      </c>
      <c r="W160" s="174"/>
      <c r="X160" s="5" t="str">
        <f>IF(L160="","",VLOOKUP($L160,classifications!$C:$J,6,FALSE))</f>
        <v>Urban with Significant Rural</v>
      </c>
      <c r="Y160" t="str">
        <f t="shared" si="62"/>
        <v/>
      </c>
      <c r="Z160" s="39" t="str">
        <f>IF(Y160="","",IF(I$8="A",(RANK(Y160,Y$11:Y$333,1)+COUNTIF(Y$11:Y160,Y160)-1),(RANK(Y160,Y$11:Y$333)+COUNTIF(Y$11:Y160,Y160)-1)))</f>
        <v/>
      </c>
      <c r="AA160" s="177" t="str">
        <f>IF(L160="","",VLOOKUP($L160,classifications!C:I,7,FALSE))</f>
        <v>Urban with Significant Rural</v>
      </c>
      <c r="AB160" s="173" t="str">
        <f t="shared" si="63"/>
        <v/>
      </c>
      <c r="AC160" s="173" t="str">
        <f>IF(AB160="","",IF($I$8="A",(RANK(AB160,AB$11:AB$333)+COUNTIF(AB$11:AB160,AB160)-1),(RANK(AB160,AB$11:AB$333,1)+COUNTIF(AB$11:AB160,AB160)-1)))</f>
        <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Hampshire</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South East</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100</v>
      </c>
      <c r="G161" s="15"/>
      <c r="H161" s="41">
        <f t="shared" si="68"/>
        <v>100</v>
      </c>
      <c r="I161" s="73">
        <f>IF(H161="","",IF($I$8="A",(RANK(H161,H$11:H$333,1)+COUNTIF(H$11:H161,H161)-1),(RANK(H161,H$11:H$333)+COUNTIF(H$11:H161,H161)-1)))</f>
        <v>36</v>
      </c>
      <c r="J161" s="40"/>
      <c r="K161" s="35">
        <f t="shared" si="75"/>
        <v>151</v>
      </c>
      <c r="L161" t="str">
        <f t="shared" si="69"/>
        <v>South Derbyshire</v>
      </c>
      <c r="M161" s="109">
        <f t="shared" si="70"/>
        <v>60</v>
      </c>
      <c r="N161" s="104">
        <f t="shared" si="55"/>
        <v>60</v>
      </c>
      <c r="O161" s="89" t="str">
        <f t="shared" si="56"/>
        <v/>
      </c>
      <c r="P161" s="89" t="str">
        <f t="shared" si="57"/>
        <v/>
      </c>
      <c r="Q161" s="89" t="str">
        <f t="shared" si="58"/>
        <v/>
      </c>
      <c r="R161" s="85">
        <f t="shared" si="59"/>
        <v>60</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Urban with Significant Rural</v>
      </c>
      <c r="Y161" t="str">
        <f t="shared" si="62"/>
        <v/>
      </c>
      <c r="Z161" s="39" t="str">
        <f>IF(Y161="","",IF(I$8="A",(RANK(Y161,Y$11:Y$333,1)+COUNTIF(Y$11:Y161,Y161)-1),(RANK(Y161,Y$11:Y$333)+COUNTIF(Y$11:Y161,Y161)-1)))</f>
        <v/>
      </c>
      <c r="AA161" s="177" t="str">
        <f>IF(L161="","",VLOOKUP($L161,classifications!C:I,7,FALSE))</f>
        <v>Urban with Significant Rural</v>
      </c>
      <c r="AB161" s="173" t="str">
        <f t="shared" si="63"/>
        <v/>
      </c>
      <c r="AC161" s="173" t="str">
        <f>IF(AB161="","",IF($I$8="A",(RANK(AB161,AB$11:AB$333)+COUNTIF(AB$11:AB161,AB161)-1),(RANK(AB161,AB$11:AB$333,1)+COUNTIF(AB$11:AB161,AB161)-1)))</f>
        <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Derbyshire</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East Midlands</v>
      </c>
      <c r="AQ161" s="42" t="str">
        <f t="shared" si="66"/>
        <v/>
      </c>
      <c r="AR161" s="39" t="str">
        <f>IF(AQ161="","",IF(I$8="A",(RANK(AQ161,AQ$11:AQ$333,1)+COUNTIF(AQ$11:AQ161,AQ161)-1),(RANK(AQ161,AQ$11:AQ$333)+COUNTIF(AQ$11:AQ161,AQ161)-1)))</f>
        <v/>
      </c>
      <c r="AS161" s="3" t="str">
        <f t="shared" si="78"/>
        <v/>
      </c>
      <c r="AT161" s="39" t="str">
        <f t="shared" si="73"/>
        <v/>
      </c>
      <c r="AU161" s="42" t="str">
        <f t="shared" si="74"/>
        <v/>
      </c>
      <c r="AX161">
        <f>HLOOKUP($AX$9&amp;$AX$10,Data!$A$1:$ZT$1975,(MATCH($C161,Data!$A$1:$A$1975,0)),FALSE)</f>
        <v>100</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f t="shared" si="75"/>
        <v>152</v>
      </c>
      <c r="L162" t="str">
        <f t="shared" si="69"/>
        <v>Tandridge</v>
      </c>
      <c r="M162" s="109">
        <f t="shared" si="70"/>
        <v>60</v>
      </c>
      <c r="N162" s="104">
        <f t="shared" si="55"/>
        <v>60</v>
      </c>
      <c r="O162" s="89" t="str">
        <f t="shared" si="56"/>
        <v/>
      </c>
      <c r="P162" s="89" t="str">
        <f t="shared" si="57"/>
        <v/>
      </c>
      <c r="Q162" s="89" t="str">
        <f t="shared" si="58"/>
        <v/>
      </c>
      <c r="R162" s="85">
        <f t="shared" si="59"/>
        <v>60</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Urban with Significant Rural</v>
      </c>
      <c r="Y162" t="str">
        <f t="shared" si="62"/>
        <v/>
      </c>
      <c r="Z162" s="39" t="str">
        <f>IF(Y162="","",IF(I$8="A",(RANK(Y162,Y$11:Y$333,1)+COUNTIF(Y$11:Y162,Y162)-1),(RANK(Y162,Y$11:Y$333)+COUNTIF(Y$11:Y162,Y162)-1)))</f>
        <v/>
      </c>
      <c r="AA162" s="177" t="str">
        <f>IF(L162="","",VLOOKUP($L162,classifications!C:I,7,FALSE))</f>
        <v>Urban with Significant Rural</v>
      </c>
      <c r="AB162" s="173" t="str">
        <f t="shared" si="63"/>
        <v/>
      </c>
      <c r="AC162" s="173" t="str">
        <f>IF(AB162="","",IF($I$8="A",(RANK(AB162,AB$11:AB$333)+COUNTIF(AB$11:AB162,AB162)-1),(RANK(AB162,AB$11:AB$333,1)+COUNTIF(AB$11:AB162,AB162)-1)))</f>
        <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Surrey</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South East</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62.5</v>
      </c>
      <c r="G163" s="15"/>
      <c r="H163" s="41">
        <f t="shared" si="68"/>
        <v>62.5</v>
      </c>
      <c r="I163" s="73">
        <f>IF(H163="","",IF($I$8="A",(RANK(H163,H$11:H$333,1)+COUNTIF(H$11:H163,H163)-1),(RANK(H163,H$11:H$333)+COUNTIF(H$11:H163,H163)-1)))</f>
        <v>146</v>
      </c>
      <c r="J163" s="40"/>
      <c r="K163" s="35">
        <f t="shared" si="75"/>
        <v>153</v>
      </c>
      <c r="L163" t="str">
        <f t="shared" si="69"/>
        <v>Harborough</v>
      </c>
      <c r="M163" s="109">
        <f t="shared" si="70"/>
        <v>53.846153846153847</v>
      </c>
      <c r="N163" s="104">
        <f t="shared" si="55"/>
        <v>53.846153846153847</v>
      </c>
      <c r="O163" s="89" t="str">
        <f t="shared" si="56"/>
        <v/>
      </c>
      <c r="P163" s="89" t="str">
        <f t="shared" si="57"/>
        <v/>
      </c>
      <c r="Q163" s="89" t="str">
        <f t="shared" si="58"/>
        <v/>
      </c>
      <c r="R163" s="85">
        <f t="shared" si="59"/>
        <v>53.846153846153847</v>
      </c>
      <c r="S163" s="41" t="str">
        <f t="shared" si="60"/>
        <v/>
      </c>
      <c r="T163" s="166" t="str">
        <f>IF(L163="","",VLOOKUP(L163,classifications!C:K,9,FALSE))</f>
        <v>Sparse</v>
      </c>
      <c r="U163" s="167">
        <f t="shared" si="61"/>
        <v>53.846153846153847</v>
      </c>
      <c r="V163" s="173">
        <f>IF(U163="","",IF($I$8="A",(RANK(U163,U$11:U$333)+COUNTIF(U$11:U163,U163)-1),(RANK(U163,U$11:U$333,1)+COUNTIF(U$11:U163,U163)-1)))</f>
        <v>1</v>
      </c>
      <c r="W163" s="174"/>
      <c r="X163" s="5" t="str">
        <f>IF(L163="","",VLOOKUP($L163,classifications!$C:$J,6,FALSE))</f>
        <v xml:space="preserve">Predominantly Rural </v>
      </c>
      <c r="Y163">
        <f t="shared" si="62"/>
        <v>53.846153846153847</v>
      </c>
      <c r="Z163" s="39">
        <f>IF(Y163="","",IF(I$8="A",(RANK(Y163,Y$11:Y$333,1)+COUNTIF(Y$11:Y163,Y163)-1),(RANK(Y163,Y$11:Y$333)+COUNTIF(Y$11:Y163,Y163)-1)))</f>
        <v>59</v>
      </c>
      <c r="AA163" s="177" t="str">
        <f>IF(L163="","",VLOOKUP($L163,classifications!C:I,7,FALSE))</f>
        <v>Predominantly Rural</v>
      </c>
      <c r="AB163" s="173">
        <f t="shared" si="63"/>
        <v>53.846153846153847</v>
      </c>
      <c r="AC163" s="173">
        <f>IF(AB163="","",IF($I$8="A",(RANK(AB163,AB$11:AB$333)+COUNTIF(AB$11:AB163,AB163)-1),(RANK(AB163,AB$11:AB$333,1)+COUNTIF(AB$11:AB163,AB163)-1)))</f>
        <v>1</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Leicestershire</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East Midlands</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62.5</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0</v>
      </c>
      <c r="G164" s="15"/>
      <c r="H164" s="41">
        <f t="shared" si="68"/>
        <v>0</v>
      </c>
      <c r="I164" s="73">
        <f>IF(H164="","",IF($I$8="A",(RANK(H164,H$11:H$333,1)+COUNTIF(H$11:H164,H164)-1),(RANK(H164,H$11:H$333)+COUNTIF(H$11:H164,H164)-1)))</f>
        <v>162</v>
      </c>
      <c r="J164" s="40"/>
      <c r="K164" s="35">
        <f t="shared" si="75"/>
        <v>154</v>
      </c>
      <c r="L164" t="str">
        <f t="shared" si="69"/>
        <v>Havant</v>
      </c>
      <c r="M164" s="109">
        <f t="shared" si="70"/>
        <v>50</v>
      </c>
      <c r="N164" s="104">
        <f t="shared" si="55"/>
        <v>50</v>
      </c>
      <c r="O164" s="89" t="str">
        <f t="shared" si="56"/>
        <v/>
      </c>
      <c r="P164" s="89" t="str">
        <f t="shared" si="57"/>
        <v/>
      </c>
      <c r="Q164" s="89" t="str">
        <f t="shared" si="58"/>
        <v/>
      </c>
      <c r="R164" s="85">
        <f t="shared" si="59"/>
        <v>50</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Predominantly Urban</v>
      </c>
      <c r="Y164" t="str">
        <f t="shared" si="62"/>
        <v/>
      </c>
      <c r="Z164" s="39" t="str">
        <f>IF(Y164="","",IF(I$8="A",(RANK(Y164,Y$11:Y$333,1)+COUNTIF(Y$11:Y164,Y164)-1),(RANK(Y164,Y$11:Y$333)+COUNTIF(Y$11:Y164,Y164)-1)))</f>
        <v/>
      </c>
      <c r="AA164" s="177" t="str">
        <f>IF(L164="","",VLOOKUP($L164,classifications!C:I,7,FALSE))</f>
        <v>Predominantly Urban</v>
      </c>
      <c r="AB164" s="173" t="str">
        <f t="shared" si="63"/>
        <v/>
      </c>
      <c r="AC164" s="173" t="str">
        <f>IF(AB164="","",IF($I$8="A",(RANK(AB164,AB$11:AB$333)+COUNTIF(AB$11:AB164,AB164)-1),(RANK(AB164,AB$11:AB$333,1)+COUNTIF(AB$11:AB164,AB164)-1)))</f>
        <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Hampshire</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South East</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0</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Ipswich</v>
      </c>
      <c r="M165" s="109">
        <f t="shared" si="70"/>
        <v>50</v>
      </c>
      <c r="N165" s="104">
        <f t="shared" si="55"/>
        <v>50</v>
      </c>
      <c r="O165" s="89" t="str">
        <f t="shared" si="56"/>
        <v/>
      </c>
      <c r="P165" s="89" t="str">
        <f t="shared" si="57"/>
        <v/>
      </c>
      <c r="Q165" s="89" t="str">
        <f t="shared" si="58"/>
        <v/>
      </c>
      <c r="R165" s="85">
        <f t="shared" si="59"/>
        <v>50</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Predominantly Urban</v>
      </c>
      <c r="Y165" t="str">
        <f t="shared" si="62"/>
        <v/>
      </c>
      <c r="Z165" s="39" t="str">
        <f>IF(Y165="","",IF(I$8="A",(RANK(Y165,Y$11:Y$333,1)+COUNTIF(Y$11:Y165,Y165)-1),(RANK(Y165,Y$11:Y$333)+COUNTIF(Y$11:Y165,Y165)-1)))</f>
        <v/>
      </c>
      <c r="AA165" s="177" t="str">
        <f>IF(L165="","",VLOOKUP($L165,classifications!C:I,7,FALSE))</f>
        <v>Predominantly Urban</v>
      </c>
      <c r="AB165" s="173" t="str">
        <f t="shared" si="63"/>
        <v/>
      </c>
      <c r="AC165" s="173" t="str">
        <f>IF(AB165="","",IF($I$8="A",(RANK(AB165,AB$11:AB$333)+COUNTIF(AB$11:AB165,AB165)-1),(RANK(AB165,AB$11:AB$333,1)+COUNTIF(AB$11:AB165,AB165)-1)))</f>
        <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Suffolk</v>
      </c>
      <c r="AJ165" s="42">
        <f t="shared" si="65"/>
        <v>50</v>
      </c>
      <c r="AK165" s="39">
        <f>IF(AJ165="","",IF(I$8="A",(RANK(AJ165,AJ$11:AJ$333,1)+COUNTIF(AJ$11:AJ165,AJ165)-1),(RANK(AJ165,AJ$11:AJ$333)+COUNTIF(AJ$11:AJ165,AJ165)-1)))</f>
        <v>5</v>
      </c>
      <c r="AL165" s="3" t="str">
        <f t="shared" si="77"/>
        <v/>
      </c>
      <c r="AM165" t="str">
        <f t="shared" si="71"/>
        <v/>
      </c>
      <c r="AN165" t="str">
        <f t="shared" si="72"/>
        <v/>
      </c>
      <c r="AP165" s="5" t="str">
        <f>IF(L165="","",VLOOKUP($L165,classifications!$C:$E,3,FALSE))</f>
        <v>East of England</v>
      </c>
      <c r="AQ165" s="42">
        <f t="shared" si="66"/>
        <v>50</v>
      </c>
      <c r="AR165" s="39">
        <f>IF(AQ165="","",IF(I$8="A",(RANK(AQ165,AQ$11:AQ$333,1)+COUNTIF(AQ$11:AQ165,AQ165)-1),(RANK(AQ165,AQ$11:AQ$333)+COUNTIF(AQ$11:AQ165,AQ165)-1)))</f>
        <v>38</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83.333333333333343</v>
      </c>
      <c r="G166" s="15"/>
      <c r="H166" s="41" t="str">
        <f t="shared" si="68"/>
        <v/>
      </c>
      <c r="I166" s="73" t="str">
        <f>IF(H166="","",IF($I$8="A",(RANK(H166,H$11:H$333,1)+COUNTIF(H$11:H166,H166)-1),(RANK(H166,H$11:H$333)+COUNTIF(H$11:H166,H166)-1)))</f>
        <v/>
      </c>
      <c r="J166" s="40"/>
      <c r="K166" s="35">
        <f t="shared" si="75"/>
        <v>156</v>
      </c>
      <c r="L166" t="str">
        <f t="shared" si="69"/>
        <v>Woking</v>
      </c>
      <c r="M166" s="109">
        <f t="shared" si="70"/>
        <v>50</v>
      </c>
      <c r="N166" s="104">
        <f t="shared" si="55"/>
        <v>50</v>
      </c>
      <c r="O166" s="89" t="str">
        <f t="shared" si="56"/>
        <v/>
      </c>
      <c r="P166" s="89" t="str">
        <f t="shared" si="57"/>
        <v/>
      </c>
      <c r="Q166" s="89" t="str">
        <f t="shared" si="58"/>
        <v/>
      </c>
      <c r="R166" s="85">
        <f t="shared" si="59"/>
        <v>50</v>
      </c>
      <c r="S166" s="41" t="str">
        <f t="shared" si="60"/>
        <v/>
      </c>
      <c r="T166" s="166">
        <f>IF(L166="","",VLOOKUP(L166,classifications!C:K,9,FALSE))</f>
        <v>0</v>
      </c>
      <c r="U166" s="167" t="str">
        <f t="shared" si="61"/>
        <v/>
      </c>
      <c r="V166" s="173" t="str">
        <f>IF(U166="","",IF($I$8="A",(RANK(U166,U$11:U$333)+COUNTIF(U$11:U166,U166)-1),(RANK(U166,U$11:U$333,1)+COUNTIF(U$11:U166,U166)-1)))</f>
        <v/>
      </c>
      <c r="W166" s="174"/>
      <c r="X166" s="5" t="str">
        <f>IF(L166="","",VLOOKUP($L166,classifications!$C:$J,6,FALSE))</f>
        <v>Predominantly Urban</v>
      </c>
      <c r="Y166" t="str">
        <f t="shared" si="62"/>
        <v/>
      </c>
      <c r="Z166" s="39" t="str">
        <f>IF(Y166="","",IF(I$8="A",(RANK(Y166,Y$11:Y$333,1)+COUNTIF(Y$11:Y166,Y166)-1),(RANK(Y166,Y$11:Y$333)+COUNTIF(Y$11:Y166,Y166)-1)))</f>
        <v/>
      </c>
      <c r="AA166" s="177" t="str">
        <f>IF(L166="","",VLOOKUP($L166,classifications!C:I,7,FALSE))</f>
        <v>Predominantly Urban</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Surrey</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South East</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83.333333333333343</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83.333333333333343</v>
      </c>
      <c r="G167" s="15"/>
      <c r="H167" s="41" t="str">
        <f t="shared" si="68"/>
        <v/>
      </c>
      <c r="I167" s="73" t="str">
        <f>IF(H167="","",IF($I$8="A",(RANK(H167,H$11:H$333,1)+COUNTIF(H$11:H167,H167)-1),(RANK(H167,H$11:H$333)+COUNTIF(H$11:H167,H167)-1)))</f>
        <v/>
      </c>
      <c r="J167" s="40"/>
      <c r="K167" s="35">
        <f t="shared" si="75"/>
        <v>157</v>
      </c>
      <c r="L167" t="str">
        <f t="shared" si="69"/>
        <v>Bromsgrove</v>
      </c>
      <c r="M167" s="109">
        <f t="shared" si="70"/>
        <v>33.333333333333329</v>
      </c>
      <c r="N167" s="104">
        <f t="shared" si="55"/>
        <v>33.333333333333329</v>
      </c>
      <c r="O167" s="89" t="str">
        <f t="shared" si="56"/>
        <v/>
      </c>
      <c r="P167" s="89" t="str">
        <f t="shared" si="57"/>
        <v/>
      </c>
      <c r="Q167" s="89" t="str">
        <f t="shared" si="58"/>
        <v/>
      </c>
      <c r="R167" s="85">
        <f t="shared" si="59"/>
        <v>33.333333333333329</v>
      </c>
      <c r="S167" s="41" t="str">
        <f t="shared" si="60"/>
        <v/>
      </c>
      <c r="T167" s="166">
        <f>IF(L167="","",VLOOKUP(L167,classifications!C:K,9,FALSE))</f>
        <v>0</v>
      </c>
      <c r="U167" s="167" t="str">
        <f t="shared" si="61"/>
        <v/>
      </c>
      <c r="V167" s="173" t="str">
        <f>IF(U167="","",IF($I$8="A",(RANK(U167,U$11:U$333)+COUNTIF(U$11:U167,U167)-1),(RANK(U167,U$11:U$333,1)+COUNTIF(U$11:U167,U167)-1)))</f>
        <v/>
      </c>
      <c r="W167" s="174"/>
      <c r="X167" s="5" t="str">
        <f>IF(L167="","",VLOOKUP($L167,classifications!$C:$J,6,FALSE))</f>
        <v>Predominantly Urban</v>
      </c>
      <c r="Y167" t="str">
        <f t="shared" si="62"/>
        <v/>
      </c>
      <c r="Z167" s="39" t="str">
        <f>IF(Y167="","",IF(I$8="A",(RANK(Y167,Y$11:Y$333,1)+COUNTIF(Y$11:Y167,Y167)-1),(RANK(Y167,Y$11:Y$333)+COUNTIF(Y$11:Y167,Y167)-1)))</f>
        <v/>
      </c>
      <c r="AA167" s="177" t="str">
        <f>IF(L167="","",VLOOKUP($L167,classifications!C:I,7,FALSE))</f>
        <v>Predominantly Urban</v>
      </c>
      <c r="AB167" s="173" t="str">
        <f t="shared" si="63"/>
        <v/>
      </c>
      <c r="AC167" s="173" t="str">
        <f>IF(AB167="","",IF($I$8="A",(RANK(AB167,AB$11:AB$333)+COUNTIF(AB$11:AB167,AB167)-1),(RANK(AB167,AB$11:AB$333,1)+COUNTIF(AB$11:AB167,AB167)-1)))</f>
        <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Worcestershire</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West Midlands</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83.333333333333343</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100</v>
      </c>
      <c r="G168" s="15"/>
      <c r="H168" s="41">
        <f t="shared" si="68"/>
        <v>100</v>
      </c>
      <c r="I168" s="73">
        <f>IF(H168="","",IF($I$8="A",(RANK(H168,H$11:H$333,1)+COUNTIF(H$11:H168,H168)-1),(RANK(H168,H$11:H$333)+COUNTIF(H$11:H168,H168)-1)))</f>
        <v>37</v>
      </c>
      <c r="J168" s="40"/>
      <c r="K168" s="35">
        <f t="shared" si="75"/>
        <v>158</v>
      </c>
      <c r="L168" t="str">
        <f t="shared" si="69"/>
        <v>Wyre Forest</v>
      </c>
      <c r="M168" s="109">
        <f t="shared" si="70"/>
        <v>16.666666666666664</v>
      </c>
      <c r="N168" s="104">
        <f t="shared" si="55"/>
        <v>16.666666666666664</v>
      </c>
      <c r="O168" s="89" t="str">
        <f t="shared" si="56"/>
        <v/>
      </c>
      <c r="P168" s="89" t="str">
        <f t="shared" si="57"/>
        <v/>
      </c>
      <c r="Q168" s="89" t="str">
        <f t="shared" si="58"/>
        <v/>
      </c>
      <c r="R168" s="85">
        <f t="shared" si="59"/>
        <v>16.666666666666664</v>
      </c>
      <c r="S168" s="41" t="str">
        <f t="shared" si="60"/>
        <v/>
      </c>
      <c r="T168" s="166">
        <f>IF(L168="","",VLOOKUP(L168,classifications!C:K,9,FALSE))</f>
        <v>0</v>
      </c>
      <c r="U168" s="167" t="str">
        <f t="shared" si="61"/>
        <v/>
      </c>
      <c r="V168" s="173" t="str">
        <f>IF(U168="","",IF($I$8="A",(RANK(U168,U$11:U$333)+COUNTIF(U$11:U168,U168)-1),(RANK(U168,U$11:U$333,1)+COUNTIF(U$11:U168,U168)-1)))</f>
        <v/>
      </c>
      <c r="W168" s="174"/>
      <c r="X168" s="5" t="str">
        <f>IF(L168="","",VLOOKUP($L168,classifications!$C:$J,6,FALSE))</f>
        <v>Urban with Significant Rural</v>
      </c>
      <c r="Y168" t="str">
        <f t="shared" si="62"/>
        <v/>
      </c>
      <c r="Z168" s="39" t="str">
        <f>IF(Y168="","",IF(I$8="A",(RANK(Y168,Y$11:Y$333,1)+COUNTIF(Y$11:Y168,Y168)-1),(RANK(Y168,Y$11:Y$333)+COUNTIF(Y$11:Y168,Y168)-1)))</f>
        <v/>
      </c>
      <c r="AA168" s="177" t="str">
        <f>IF(L168="","",VLOOKUP($L168,classifications!C:I,7,FALSE))</f>
        <v>Urban with Significant Rural</v>
      </c>
      <c r="AB168" s="173" t="str">
        <f t="shared" si="63"/>
        <v/>
      </c>
      <c r="AC168" s="173" t="str">
        <f>IF(AB168="","",IF($I$8="A",(RANK(AB168,AB$11:AB$333)+COUNTIF(AB$11:AB168,AB168)-1),(RANK(AB168,AB$11:AB$333,1)+COUNTIF(AB$11:AB168,AB168)-1)))</f>
        <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Worcestershire</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West Midlands</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100</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83.333333333333343</v>
      </c>
      <c r="G169" s="15"/>
      <c r="H169" s="41">
        <f t="shared" si="68"/>
        <v>83.333333333333343</v>
      </c>
      <c r="I169" s="73">
        <f>IF(H169="","",IF($I$8="A",(RANK(H169,H$11:H$333,1)+COUNTIF(H$11:H169,H169)-1),(RANK(H169,H$11:H$333)+COUNTIF(H$11:H169,H169)-1)))</f>
        <v>117</v>
      </c>
      <c r="J169" s="40"/>
      <c r="K169" s="35">
        <f t="shared" si="75"/>
        <v>159</v>
      </c>
      <c r="L169" t="str">
        <f t="shared" si="69"/>
        <v>Adur</v>
      </c>
      <c r="M169" s="109">
        <f t="shared" si="70"/>
        <v>0</v>
      </c>
      <c r="N169" s="104">
        <f t="shared" si="55"/>
        <v>0</v>
      </c>
      <c r="O169" s="89" t="str">
        <f t="shared" si="56"/>
        <v/>
      </c>
      <c r="P169" s="89" t="str">
        <f t="shared" si="57"/>
        <v/>
      </c>
      <c r="Q169" s="89" t="str">
        <f t="shared" si="58"/>
        <v/>
      </c>
      <c r="R169" s="85">
        <f t="shared" si="59"/>
        <v>0</v>
      </c>
      <c r="S169" s="41" t="str">
        <f t="shared" si="60"/>
        <v/>
      </c>
      <c r="T169" s="166">
        <f>IF(L169="","",VLOOKUP(L169,classifications!C:K,9,FALSE))</f>
        <v>0</v>
      </c>
      <c r="U169" s="167" t="str">
        <f t="shared" si="61"/>
        <v/>
      </c>
      <c r="V169" s="173" t="str">
        <f>IF(U169="","",IF($I$8="A",(RANK(U169,U$11:U$333)+COUNTIF(U$11:U169,U169)-1),(RANK(U169,U$11:U$333,1)+COUNTIF(U$11:U169,U169)-1)))</f>
        <v/>
      </c>
      <c r="W169" s="174"/>
      <c r="X169" s="5" t="str">
        <f>IF(L169="","",VLOOKUP($L169,classifications!$C:$J,6,FALSE))</f>
        <v>Predominantly Urban</v>
      </c>
      <c r="Y169" t="str">
        <f t="shared" si="62"/>
        <v/>
      </c>
      <c r="Z169" s="39" t="str">
        <f>IF(Y169="","",IF(I$8="A",(RANK(Y169,Y$11:Y$333,1)+COUNTIF(Y$11:Y169,Y169)-1),(RANK(Y169,Y$11:Y$333)+COUNTIF(Y$11:Y169,Y169)-1)))</f>
        <v/>
      </c>
      <c r="AA169" s="177" t="str">
        <f>IF(L169="","",VLOOKUP($L169,classifications!C:I,7,FALSE))</f>
        <v>Predominantly Urban</v>
      </c>
      <c r="AB169" s="173" t="str">
        <f t="shared" si="63"/>
        <v/>
      </c>
      <c r="AC169" s="173" t="str">
        <f>IF(AB169="","",IF($I$8="A",(RANK(AB169,AB$11:AB$333)+COUNTIF(AB$11:AB169,AB169)-1),(RANK(AB169,AB$11:AB$333,1)+COUNTIF(AB$11:AB169,AB169)-1)))</f>
        <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West Sussex</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South East</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83.333333333333343</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75</v>
      </c>
      <c r="G170" s="15"/>
      <c r="H170" s="41">
        <f t="shared" si="68"/>
        <v>75</v>
      </c>
      <c r="I170" s="73">
        <f>IF(H170="","",IF($I$8="A",(RANK(H170,H$11:H$333,1)+COUNTIF(H$11:H170,H170)-1),(RANK(H170,H$11:H$333)+COUNTIF(H$11:H170,H170)-1)))</f>
        <v>131</v>
      </c>
      <c r="J170" s="40"/>
      <c r="K170" s="35">
        <f t="shared" si="75"/>
        <v>160</v>
      </c>
      <c r="L170" t="str">
        <f t="shared" si="69"/>
        <v>Eastbourne</v>
      </c>
      <c r="M170" s="109">
        <f t="shared" si="70"/>
        <v>0</v>
      </c>
      <c r="N170" s="104">
        <f t="shared" si="55"/>
        <v>0</v>
      </c>
      <c r="O170" s="89" t="str">
        <f t="shared" si="56"/>
        <v/>
      </c>
      <c r="P170" s="89" t="str">
        <f t="shared" si="57"/>
        <v/>
      </c>
      <c r="Q170" s="89" t="str">
        <f t="shared" si="58"/>
        <v/>
      </c>
      <c r="R170" s="85">
        <f t="shared" si="59"/>
        <v>0</v>
      </c>
      <c r="S170" s="41" t="str">
        <f t="shared" si="60"/>
        <v/>
      </c>
      <c r="T170" s="166">
        <f>IF(L170="","",VLOOKUP(L170,classifications!C:K,9,FALSE))</f>
        <v>0</v>
      </c>
      <c r="U170" s="167" t="str">
        <f t="shared" si="61"/>
        <v/>
      </c>
      <c r="V170" s="173" t="str">
        <f>IF(U170="","",IF($I$8="A",(RANK(U170,U$11:U$333)+COUNTIF(U$11:U170,U170)-1),(RANK(U170,U$11:U$333,1)+COUNTIF(U$11:U170,U170)-1)))</f>
        <v/>
      </c>
      <c r="W170" s="174"/>
      <c r="X170" s="5" t="str">
        <f>IF(L170="","",VLOOKUP($L170,classifications!$C:$J,6,FALSE))</f>
        <v>Predominantly Urban</v>
      </c>
      <c r="Y170" t="str">
        <f t="shared" si="62"/>
        <v/>
      </c>
      <c r="Z170" s="39" t="str">
        <f>IF(Y170="","",IF(I$8="A",(RANK(Y170,Y$11:Y$333,1)+COUNTIF(Y$11:Y170,Y170)-1),(RANK(Y170,Y$11:Y$333)+COUNTIF(Y$11:Y170,Y170)-1)))</f>
        <v/>
      </c>
      <c r="AA170" s="177" t="str">
        <f>IF(L170="","",VLOOKUP($L170,classifications!C:I,7,FALSE))</f>
        <v>Predominantly Urban</v>
      </c>
      <c r="AB170" s="173" t="str">
        <f t="shared" si="63"/>
        <v/>
      </c>
      <c r="AC170" s="173" t="str">
        <f>IF(AB170="","",IF($I$8="A",(RANK(AB170,AB$11:AB$333)+COUNTIF(AB$11:AB170,AB170)-1),(RANK(AB170,AB$11:AB$333,1)+COUNTIF(AB$11:AB170,AB170)-1)))</f>
        <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East Sussex</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South East</v>
      </c>
      <c r="AQ170" s="42" t="str">
        <f t="shared" si="66"/>
        <v/>
      </c>
      <c r="AR170" s="39" t="str">
        <f>IF(AQ170="","",IF(I$8="A",(RANK(AQ170,AQ$11:AQ$333,1)+COUNTIF(AQ$11:AQ170,AQ170)-1),(RANK(AQ170,AQ$11:AQ$333)+COUNTIF(AQ$11:AQ170,AQ170)-1)))</f>
        <v/>
      </c>
      <c r="AS170" s="3" t="str">
        <f t="shared" si="78"/>
        <v/>
      </c>
      <c r="AT170" s="39" t="str">
        <f t="shared" si="73"/>
        <v/>
      </c>
      <c r="AU170" s="42" t="str">
        <f t="shared" si="74"/>
        <v/>
      </c>
      <c r="AX170">
        <f>HLOOKUP($AX$9&amp;$AX$10,Data!$A$1:$ZT$1975,(MATCH($C170,Data!$A$1:$A$1975,0)),FALSE)</f>
        <v>75</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85.365853658536579</v>
      </c>
      <c r="G171" s="15"/>
      <c r="H171" s="41" t="str">
        <f t="shared" si="68"/>
        <v/>
      </c>
      <c r="I171" s="73" t="str">
        <f>IF(H171="","",IF($I$8="A",(RANK(H171,H$11:H$333,1)+COUNTIF(H$11:H171,H171)-1),(RANK(H171,H$11:H$333)+COUNTIF(H$11:H171,H171)-1)))</f>
        <v/>
      </c>
      <c r="J171" s="40"/>
      <c r="K171" s="35">
        <f t="shared" si="75"/>
        <v>161</v>
      </c>
      <c r="L171" t="str">
        <f t="shared" si="69"/>
        <v>Gosport</v>
      </c>
      <c r="M171" s="109">
        <f t="shared" si="70"/>
        <v>0</v>
      </c>
      <c r="N171" s="104">
        <f t="shared" si="55"/>
        <v>0</v>
      </c>
      <c r="O171" s="89" t="str">
        <f t="shared" si="56"/>
        <v/>
      </c>
      <c r="P171" s="89" t="str">
        <f t="shared" si="57"/>
        <v/>
      </c>
      <c r="Q171" s="89" t="str">
        <f t="shared" si="58"/>
        <v/>
      </c>
      <c r="R171" s="85">
        <f t="shared" si="59"/>
        <v>0</v>
      </c>
      <c r="S171" s="41" t="str">
        <f t="shared" si="60"/>
        <v/>
      </c>
      <c r="T171" s="166">
        <f>IF(L171="","",VLOOKUP(L171,classifications!C:K,9,FALSE))</f>
        <v>0</v>
      </c>
      <c r="U171" s="167" t="str">
        <f t="shared" si="61"/>
        <v/>
      </c>
      <c r="V171" s="173" t="str">
        <f>IF(U171="","",IF($I$8="A",(RANK(U171,U$11:U$333)+COUNTIF(U$11:U171,U171)-1),(RANK(U171,U$11:U$333,1)+COUNTIF(U$11:U171,U171)-1)))</f>
        <v/>
      </c>
      <c r="W171" s="174"/>
      <c r="X171" s="5" t="str">
        <f>IF(L171="","",VLOOKUP($L171,classifications!$C:$J,6,FALSE))</f>
        <v>Predominantly Urban</v>
      </c>
      <c r="Y171" t="str">
        <f t="shared" si="62"/>
        <v/>
      </c>
      <c r="Z171" s="39" t="str">
        <f>IF(Y171="","",IF(I$8="A",(RANK(Y171,Y$11:Y$333,1)+COUNTIF(Y$11:Y171,Y171)-1),(RANK(Y171,Y$11:Y$333)+COUNTIF(Y$11:Y171,Y171)-1)))</f>
        <v/>
      </c>
      <c r="AA171" s="177" t="str">
        <f>IF(L171="","",VLOOKUP($L171,classifications!C:I,7,FALSE))</f>
        <v>Predominantly Urban</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Hampshire</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South East</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85.365853658536579</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f t="shared" si="68"/>
        <v>100</v>
      </c>
      <c r="I172" s="73">
        <f>IF(H172="","",IF($I$8="A",(RANK(H172,H$11:H$333,1)+COUNTIF(H$11:H172,H172)-1),(RANK(H172,H$11:H$333)+COUNTIF(H$11:H172,H172)-1)))</f>
        <v>38</v>
      </c>
      <c r="J172" s="40"/>
      <c r="K172" s="35">
        <f t="shared" si="75"/>
        <v>162</v>
      </c>
      <c r="L172" t="str">
        <f t="shared" si="69"/>
        <v>Lincoln</v>
      </c>
      <c r="M172" s="109">
        <f t="shared" si="70"/>
        <v>0</v>
      </c>
      <c r="N172" s="104">
        <f t="shared" si="55"/>
        <v>0</v>
      </c>
      <c r="O172" s="89" t="str">
        <f t="shared" si="56"/>
        <v/>
      </c>
      <c r="P172" s="89" t="str">
        <f t="shared" si="57"/>
        <v/>
      </c>
      <c r="Q172" s="89" t="str">
        <f t="shared" si="58"/>
        <v/>
      </c>
      <c r="R172" s="85">
        <f t="shared" si="59"/>
        <v>0</v>
      </c>
      <c r="S172" s="41" t="str">
        <f t="shared" si="60"/>
        <v/>
      </c>
      <c r="T172" s="166">
        <f>IF(L172="","",VLOOKUP(L172,classifications!C:K,9,FALSE))</f>
        <v>0</v>
      </c>
      <c r="U172" s="167" t="str">
        <f t="shared" si="61"/>
        <v/>
      </c>
      <c r="V172" s="173" t="str">
        <f>IF(U172="","",IF($I$8="A",(RANK(U172,U$11:U$333)+COUNTIF(U$11:U172,U172)-1),(RANK(U172,U$11:U$333,1)+COUNTIF(U$11:U172,U172)-1)))</f>
        <v/>
      </c>
      <c r="W172" s="174"/>
      <c r="X172" s="5" t="str">
        <f>IF(L172="","",VLOOKUP($L172,classifications!$C:$J,6,FALSE))</f>
        <v>Predominantly Urban</v>
      </c>
      <c r="Y172" t="str">
        <f t="shared" si="62"/>
        <v/>
      </c>
      <c r="Z172" s="39" t="str">
        <f>IF(Y172="","",IF(I$8="A",(RANK(Y172,Y$11:Y$333,1)+COUNTIF(Y$11:Y172,Y172)-1),(RANK(Y172,Y$11:Y$333)+COUNTIF(Y$11:Y172,Y172)-1)))</f>
        <v/>
      </c>
      <c r="AA172" s="177" t="str">
        <f>IF(L172="","",VLOOKUP($L172,classifications!C:I,7,FALSE))</f>
        <v>Predominantly Urban</v>
      </c>
      <c r="AB172" s="173" t="str">
        <f t="shared" si="63"/>
        <v/>
      </c>
      <c r="AC172" s="173" t="str">
        <f>IF(AB172="","",IF($I$8="A",(RANK(AB172,AB$11:AB$333)+COUNTIF(AB$11:AB172,AB172)-1),(RANK(AB172,AB$11:AB$333,1)+COUNTIF(AB$11:AB172,AB172)-1)))</f>
        <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Lincolnshire</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East Midlands</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100</v>
      </c>
      <c r="G173" s="15"/>
      <c r="H173" s="41" t="str">
        <f t="shared" si="68"/>
        <v/>
      </c>
      <c r="I173" s="73" t="str">
        <f>IF(H173="","",IF($I$8="A",(RANK(H173,H$11:H$333,1)+COUNTIF(H$11:H173,H173)-1),(RANK(H173,H$11:H$333)+COUNTIF(H$11:H173,H173)-1)))</f>
        <v/>
      </c>
      <c r="J173" s="40"/>
      <c r="K173" s="35">
        <f t="shared" si="75"/>
        <v>163</v>
      </c>
      <c r="L173" t="str">
        <f t="shared" si="69"/>
        <v>Oadby &amp; Wigston</v>
      </c>
      <c r="M173" s="109">
        <f t="shared" si="70"/>
        <v>0</v>
      </c>
      <c r="N173" s="104">
        <f t="shared" si="55"/>
        <v>0</v>
      </c>
      <c r="O173" s="89" t="str">
        <f t="shared" si="56"/>
        <v/>
      </c>
      <c r="P173" s="89" t="str">
        <f t="shared" si="57"/>
        <v/>
      </c>
      <c r="Q173" s="89" t="str">
        <f t="shared" si="58"/>
        <v/>
      </c>
      <c r="R173" s="85">
        <f t="shared" si="59"/>
        <v>0</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Predominantly Urban</v>
      </c>
      <c r="Y173" t="str">
        <f t="shared" si="62"/>
        <v/>
      </c>
      <c r="Z173" s="39" t="str">
        <f>IF(Y173="","",IF(I$8="A",(RANK(Y173,Y$11:Y$333,1)+COUNTIF(Y$11:Y173,Y173)-1),(RANK(Y173,Y$11:Y$333)+COUNTIF(Y$11:Y173,Y173)-1)))</f>
        <v/>
      </c>
      <c r="AA173" s="177" t="str">
        <f>IF(L173="","",VLOOKUP($L173,classifications!C:I,7,FALSE))</f>
        <v>Predominantly Urban</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Leicestershire</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East Midlands</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100</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100</v>
      </c>
      <c r="G174" s="15"/>
      <c r="H174" s="41">
        <f t="shared" si="68"/>
        <v>100</v>
      </c>
      <c r="I174" s="73">
        <f>IF(H174="","",IF($I$8="A",(RANK(H174,H$11:H$333,1)+COUNTIF(H$11:H174,H174)-1),(RANK(H174,H$11:H$333)+COUNTIF(H$11:H174,H174)-1)))</f>
        <v>39</v>
      </c>
      <c r="J174" s="40"/>
      <c r="K174" s="35">
        <f t="shared" si="75"/>
        <v>164</v>
      </c>
      <c r="L174" t="str">
        <f t="shared" si="69"/>
        <v>Welwyn Hatfield</v>
      </c>
      <c r="M174" s="109">
        <f t="shared" si="70"/>
        <v>0</v>
      </c>
      <c r="N174" s="104">
        <f t="shared" si="55"/>
        <v>0</v>
      </c>
      <c r="O174" s="89" t="str">
        <f t="shared" si="56"/>
        <v/>
      </c>
      <c r="P174" s="89" t="str">
        <f t="shared" si="57"/>
        <v/>
      </c>
      <c r="Q174" s="89" t="str">
        <f t="shared" si="58"/>
        <v/>
      </c>
      <c r="R174" s="85">
        <f t="shared" si="59"/>
        <v>0</v>
      </c>
      <c r="S174" s="41" t="str">
        <f t="shared" si="60"/>
        <v/>
      </c>
      <c r="T174" s="166">
        <f>IF(L174="","",VLOOKUP(L174,classifications!C:K,9,FALSE))</f>
        <v>0</v>
      </c>
      <c r="U174" s="167" t="str">
        <f t="shared" si="61"/>
        <v/>
      </c>
      <c r="V174" s="173" t="str">
        <f>IF(U174="","",IF($I$8="A",(RANK(U174,U$11:U$333)+COUNTIF(U$11:U174,U174)-1),(RANK(U174,U$11:U$333,1)+COUNTIF(U$11:U174,U174)-1)))</f>
        <v/>
      </c>
      <c r="W174" s="174"/>
      <c r="X174" s="5" t="str">
        <f>IF(L174="","",VLOOKUP($L174,classifications!$C:$J,6,FALSE))</f>
        <v>Predominantly Urban</v>
      </c>
      <c r="Y174" t="str">
        <f t="shared" si="62"/>
        <v/>
      </c>
      <c r="Z174" s="39" t="str">
        <f>IF(Y174="","",IF(I$8="A",(RANK(Y174,Y$11:Y$333,1)+COUNTIF(Y$11:Y174,Y174)-1),(RANK(Y174,Y$11:Y$333)+COUNTIF(Y$11:Y174,Y174)-1)))</f>
        <v/>
      </c>
      <c r="AA174" s="177" t="str">
        <f>IF(L174="","",VLOOKUP($L174,classifications!C:I,7,FALSE))</f>
        <v>Predominantly Urban</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Hertfordshire</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East of England</v>
      </c>
      <c r="AQ174" s="42">
        <f t="shared" si="66"/>
        <v>0</v>
      </c>
      <c r="AR174" s="39">
        <f>IF(AQ174="","",IF(I$8="A",(RANK(AQ174,AQ$11:AQ$333,1)+COUNTIF(AQ$11:AQ174,AQ174)-1),(RANK(AQ174,AQ$11:AQ$333)+COUNTIF(AQ$11:AQ174,AQ174)-1)))</f>
        <v>39</v>
      </c>
      <c r="AS174" s="3" t="str">
        <f t="shared" si="78"/>
        <v/>
      </c>
      <c r="AT174" s="39" t="str">
        <f t="shared" si="73"/>
        <v/>
      </c>
      <c r="AU174" s="42" t="str">
        <f t="shared" si="74"/>
        <v/>
      </c>
      <c r="AX174">
        <f>HLOOKUP($AX$9&amp;$AX$10,Data!$A$1:$ZT$1975,(MATCH($C174,Data!$A$1:$A$1975,0)),FALSE)</f>
        <v>100</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100</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100</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100</v>
      </c>
      <c r="G176" s="15"/>
      <c r="H176" s="41">
        <f t="shared" si="68"/>
        <v>100</v>
      </c>
      <c r="I176" s="73">
        <f>IF(H176="","",IF($I$8="A",(RANK(H176,H$11:H$333,1)+COUNTIF(H$11:H176,H176)-1),(RANK(H176,H$11:H$333)+COUNTIF(H$11:H176,H176)-1)))</f>
        <v>40</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100</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71.428571428571431</v>
      </c>
      <c r="G177" s="15"/>
      <c r="H177" s="41">
        <f t="shared" si="68"/>
        <v>71.428571428571431</v>
      </c>
      <c r="I177" s="73">
        <f>IF(H177="","",IF($I$8="A",(RANK(H177,H$11:H$333,1)+COUNTIF(H$11:H177,H177)-1),(RANK(H177,H$11:H$333)+COUNTIF(H$11:H177,H177)-1)))</f>
        <v>136</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71.428571428571431</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f t="shared" si="68"/>
        <v>100</v>
      </c>
      <c r="I178" s="73">
        <f>IF(H178="","",IF($I$8="A",(RANK(H178,H$11:H$333,1)+COUNTIF(H$11:H178,H178)-1),(RANK(H178,H$11:H$333)+COUNTIF(H$11:H178,H178)-1)))</f>
        <v>41</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87.5</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87.5</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100</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100</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100</v>
      </c>
      <c r="G181" s="15"/>
      <c r="H181" s="41">
        <f t="shared" si="68"/>
        <v>100</v>
      </c>
      <c r="I181" s="73">
        <f>IF(H181="","",IF($I$8="A",(RANK(H181,H$11:H$333,1)+COUNTIF(H$11:H181,H181)-1),(RANK(H181,H$11:H$333)+COUNTIF(H$11:H181,H181)-1)))</f>
        <v>42</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100</v>
      </c>
    </row>
    <row r="182" spans="1:50">
      <c r="A182" s="55" t="str">
        <f>$D$1&amp;172</f>
        <v>SD172</v>
      </c>
      <c r="B182" s="56">
        <f>IF(ISERROR(VLOOKUP(A182,classifications!A:C,3,FALSE)),0,VLOOKUP(A182,classifications!A:C,3,FALSE))</f>
        <v>0</v>
      </c>
      <c r="C182" t="s">
        <v>106</v>
      </c>
      <c r="D182" t="str">
        <f>VLOOKUP($C182,classifications!$C:$J,4,FALSE)</f>
        <v>SD</v>
      </c>
      <c r="E182" t="str">
        <f>VLOOKUP(C182,classifications!C:K,9,FALSE)</f>
        <v>Sparse</v>
      </c>
      <c r="F182">
        <f t="shared" si="67"/>
        <v>100</v>
      </c>
      <c r="G182" s="15"/>
      <c r="H182" s="41">
        <f t="shared" si="68"/>
        <v>100</v>
      </c>
      <c r="I182" s="73">
        <f>IF(H182="","",IF($I$8="A",(RANK(H182,H$11:H$333,1)+COUNTIF(H$11:H182,H182)-1),(RANK(H182,H$11:H$333)+COUNTIF(H$11:H182,H182)-1)))</f>
        <v>43</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100</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84.615384615384613</v>
      </c>
      <c r="G183" s="15"/>
      <c r="H183" s="41">
        <f t="shared" si="68"/>
        <v>84.615384615384613</v>
      </c>
      <c r="I183" s="73">
        <f>IF(H183="","",IF($I$8="A",(RANK(H183,H$11:H$333,1)+COUNTIF(H$11:H183,H183)-1),(RANK(H183,H$11:H$333)+COUNTIF(H$11:H183,H183)-1)))</f>
        <v>110</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84.615384615384613</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71.428571428571431</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71.428571428571431</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100</v>
      </c>
      <c r="G185" s="15"/>
      <c r="H185" s="41">
        <f t="shared" si="68"/>
        <v>100</v>
      </c>
      <c r="I185" s="73">
        <f>IF(H185="","",IF($I$8="A",(RANK(H185,H$11:H$333,1)+COUNTIF(H$11:H185,H185)-1),(RANK(H185,H$11:H$333)+COUNTIF(H$11:H185,H185)-1)))</f>
        <v>44</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100</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100</v>
      </c>
      <c r="G188" s="15"/>
      <c r="H188" s="41">
        <f t="shared" si="68"/>
        <v>100</v>
      </c>
      <c r="I188" s="73">
        <f>IF(H188="","",IF($I$8="A",(RANK(H188,H$11:H$333,1)+COUNTIF(H$11:H188,H188)-1),(RANK(H188,H$11:H$333)+COUNTIF(H$11:H188,H188)-1)))</f>
        <v>45</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100</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100</v>
      </c>
      <c r="G189" s="15"/>
      <c r="H189" s="41">
        <f t="shared" si="68"/>
        <v>100</v>
      </c>
      <c r="I189" s="73">
        <f>IF(H189="","",IF($I$8="A",(RANK(H189,H$11:H$333,1)+COUNTIF(H$11:H189,H189)-1),(RANK(H189,H$11:H$333)+COUNTIF(H$11:H189,H189)-1)))</f>
        <v>46</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100</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100</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100</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66.666666666666657</v>
      </c>
      <c r="G191" s="15"/>
      <c r="H191" s="41">
        <f t="shared" si="68"/>
        <v>66.666666666666657</v>
      </c>
      <c r="I191" s="73">
        <f>IF(H191="","",IF($I$8="A",(RANK(H191,H$11:H$333,1)+COUNTIF(H$11:H191,H191)-1),(RANK(H191,H$11:H$333)+COUNTIF(H$11:H191,H191)-1)))</f>
        <v>143</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66.666666666666657</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100</v>
      </c>
      <c r="G192" s="15"/>
      <c r="H192" s="41">
        <f t="shared" si="68"/>
        <v>100</v>
      </c>
      <c r="I192" s="73">
        <f>IF(H192="","",IF($I$8="A",(RANK(H192,H$11:H$333,1)+COUNTIF(H$11:H192,H192)-1),(RANK(H192,H$11:H$333)+COUNTIF(H$11:H192,H192)-1)))</f>
        <v>47</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100</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88.888888888888886</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88.888888888888886</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f t="shared" si="68"/>
        <v>100</v>
      </c>
      <c r="I194" s="73">
        <f>IF(H194="","",IF($I$8="A",(RANK(H194,H$11:H$333,1)+COUNTIF(H$11:H194,H194)-1),(RANK(H194,H$11:H$333)+COUNTIF(H$11:H194,H194)-1)))</f>
        <v>48</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SD185</v>
      </c>
      <c r="B195" s="56">
        <f>IF(ISERROR(VLOOKUP(A195,classifications!A:C,3,FALSE)),0,VLOOKUP(A195,classifications!A:C,3,FALSE))</f>
        <v>0</v>
      </c>
      <c r="C195" t="s">
        <v>897</v>
      </c>
      <c r="D195" t="str">
        <f>VLOOKUP($C195,classifications!$C:$J,4,FALSE)</f>
        <v>UA</v>
      </c>
      <c r="E195">
        <f>VLOOKUP(C195,classifications!C:K,9,FALSE)</f>
        <v>0</v>
      </c>
      <c r="F195">
        <f t="shared" si="67"/>
        <v>74.074074074074076</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74.074074074074076</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80</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80</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100</v>
      </c>
      <c r="G198" s="15"/>
      <c r="H198" s="41">
        <f t="shared" si="68"/>
        <v>100</v>
      </c>
      <c r="I198" s="73">
        <f>IF(H198="","",IF($I$8="A",(RANK(H198,H$11:H$333,1)+COUNTIF(H$11:H198,H198)-1),(RANK(H198,H$11:H$333)+COUNTIF(H$11:H198,H198)-1)))</f>
        <v>49</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100</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81.818181818181827</v>
      </c>
      <c r="G199" s="15"/>
      <c r="H199" s="41">
        <f t="shared" si="68"/>
        <v>81.818181818181827</v>
      </c>
      <c r="I199" s="73">
        <f>IF(H199="","",IF($I$8="A",(RANK(H199,H$11:H$333,1)+COUNTIF(H$11:H199,H199)-1),(RANK(H199,H$11:H$333)+COUNTIF(H$11:H199,H199)-1)))</f>
        <v>118</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81.818181818181827</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91.044776119402982</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91.044776119402982</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87.5</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87.5</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100</v>
      </c>
      <c r="G202" s="15"/>
      <c r="H202" s="41">
        <f t="shared" si="68"/>
        <v>100</v>
      </c>
      <c r="I202" s="73">
        <f>IF(H202="","",IF($I$8="A",(RANK(H202,H$11:H$333,1)+COUNTIF(H$11:H202,H202)-1),(RANK(H202,H$11:H$333)+COUNTIF(H$11:H202,H202)-1)))</f>
        <v>50</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100</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75</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75</v>
      </c>
    </row>
    <row r="204" spans="1:50">
      <c r="A204" s="55" t="str">
        <f>$D$1&amp;194</f>
        <v>SD194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66.666666666666657</v>
      </c>
      <c r="G205" s="15"/>
      <c r="H205" s="41">
        <f t="shared" si="92"/>
        <v>66.666666666666657</v>
      </c>
      <c r="I205" s="73">
        <f>IF(H205="","",IF($I$8="A",(RANK(H205,H$11:H$333,1)+COUNTIF(H$11:H205,H205)-1),(RANK(H205,H$11:H$333)+COUNTIF(H$11:H205,H205)-1)))</f>
        <v>144</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66.666666666666657</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0</v>
      </c>
      <c r="G206" s="15"/>
      <c r="H206" s="41">
        <f t="shared" si="92"/>
        <v>0</v>
      </c>
      <c r="I206" s="73">
        <f>IF(H206="","",IF($I$8="A",(RANK(H206,H$11:H$333,1)+COUNTIF(H$11:H206,H206)-1),(RANK(H206,H$11:H$333)+COUNTIF(H$11:H206,H206)-1)))</f>
        <v>163</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0</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f t="shared" si="92"/>
        <v>100</v>
      </c>
      <c r="I208" s="73">
        <f>IF(H208="","",IF($I$8="A",(RANK(H208,H$11:H$333,1)+COUNTIF(H$11:H208,H208)-1),(RANK(H208,H$11:H$333)+COUNTIF(H$11:H208,H208)-1)))</f>
        <v>51</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100</v>
      </c>
      <c r="G210" s="15"/>
      <c r="H210" s="41">
        <f t="shared" si="92"/>
        <v>100</v>
      </c>
      <c r="I210" s="73">
        <f>IF(H210="","",IF($I$8="A",(RANK(H210,H$11:H$333,1)+COUNTIF(H$11:H210,H210)-1),(RANK(H210,H$11:H$333)+COUNTIF(H$11:H210,H210)-1)))</f>
        <v>52</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100</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91.666666666666657</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91.666666666666657</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100</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100</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100</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100</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100</v>
      </c>
      <c r="G214" s="15"/>
      <c r="H214" s="41">
        <f t="shared" si="92"/>
        <v>100</v>
      </c>
      <c r="I214" s="73">
        <f>IF(H214="","",IF($I$8="A",(RANK(H214,H$11:H$333,1)+COUNTIF(H$11:H214,H214)-1),(RANK(H214,H$11:H$333)+COUNTIF(H$11:H214,H214)-1)))</f>
        <v>53</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100</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100</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100</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100</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100</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100</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100</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100</v>
      </c>
      <c r="G218" s="15"/>
      <c r="H218" s="41">
        <f t="shared" si="92"/>
        <v>100</v>
      </c>
      <c r="I218" s="73">
        <f>IF(H218="","",IF($I$8="A",(RANK(H218,H$11:H$333,1)+COUNTIF(H$11:H218,H218)-1),(RANK(H218,H$11:H$333)+COUNTIF(H$11:H218,H218)-1)))</f>
        <v>54</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100</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100</v>
      </c>
      <c r="G219" s="15"/>
      <c r="H219" s="41">
        <f t="shared" si="92"/>
        <v>100</v>
      </c>
      <c r="I219" s="73">
        <f>IF(H219="","",IF($I$8="A",(RANK(H219,H$11:H$333,1)+COUNTIF(H$11:H219,H219)-1),(RANK(H219,H$11:H$333)+COUNTIF(H$11:H219,H219)-1)))</f>
        <v>55</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100</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100</v>
      </c>
      <c r="G220" s="15"/>
      <c r="H220" s="41">
        <f t="shared" si="92"/>
        <v>100</v>
      </c>
      <c r="I220" s="73">
        <f>IF(H220="","",IF($I$8="A",(RANK(H220,H$11:H$333,1)+COUNTIF(H$11:H220,H220)-1),(RANK(H220,H$11:H$333)+COUNTIF(H$11:H220,H220)-1)))</f>
        <v>56</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100</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100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100</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90</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90</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100</v>
      </c>
      <c r="G223" s="15"/>
      <c r="H223" s="41">
        <f t="shared" si="92"/>
        <v>100</v>
      </c>
      <c r="I223" s="73">
        <f>IF(H223="","",IF($I$8="A",(RANK(H223,H$11:H$333,1)+COUNTIF(H$11:H223,H223)-1),(RANK(H223,H$11:H$333)+COUNTIF(H$11:H223,H223)-1)))</f>
        <v>57</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100</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100</v>
      </c>
      <c r="G224" s="15"/>
      <c r="H224" s="41">
        <f t="shared" si="92"/>
        <v>100</v>
      </c>
      <c r="I224" s="73">
        <f>IF(H224="","",IF($I$8="A",(RANK(H224,H$11:H$333,1)+COUNTIF(H$11:H224,H224)-1),(RANK(H224,H$11:H$333)+COUNTIF(H$11:H224,H224)-1)))</f>
        <v>58</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100</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81.818181818181827</v>
      </c>
      <c r="G225" s="15"/>
      <c r="H225" s="41">
        <f t="shared" si="92"/>
        <v>81.818181818181827</v>
      </c>
      <c r="I225" s="73">
        <f>IF(H225="","",IF($I$8="A",(RANK(H225,H$11:H$333,1)+COUNTIF(H$11:H225,H225)-1),(RANK(H225,H$11:H$333)+COUNTIF(H$11:H225,H225)-1)))</f>
        <v>119</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81.818181818181827</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66.666666666666657</v>
      </c>
      <c r="G227" s="15"/>
      <c r="H227" s="41">
        <f t="shared" si="92"/>
        <v>66.666666666666657</v>
      </c>
      <c r="I227" s="73">
        <f>IF(H227="","",IF($I$8="A",(RANK(H227,H$11:H$333,1)+COUNTIF(H$11:H227,H227)-1),(RANK(H227,H$11:H$333)+COUNTIF(H$11:H227,H227)-1)))</f>
        <v>145</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66.666666666666657</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100</v>
      </c>
      <c r="G228" s="15"/>
      <c r="H228" s="41">
        <f t="shared" si="92"/>
        <v>100</v>
      </c>
      <c r="I228" s="73">
        <f>IF(H228="","",IF($I$8="A",(RANK(H228,H$11:H$333,1)+COUNTIF(H$11:H228,H228)-1),(RANK(H228,H$11:H$333)+COUNTIF(H$11:H228,H228)-1)))</f>
        <v>59</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100</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100</v>
      </c>
      <c r="G229" s="15"/>
      <c r="H229" s="41">
        <f t="shared" si="92"/>
        <v>100</v>
      </c>
      <c r="I229" s="73">
        <f>IF(H229="","",IF($I$8="A",(RANK(H229,H$11:H$333,1)+COUNTIF(H$11:H229,H229)-1),(RANK(H229,H$11:H$333)+COUNTIF(H$11:H229,H229)-1)))</f>
        <v>60</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100</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100</v>
      </c>
      <c r="G230" s="15"/>
      <c r="H230" s="41">
        <f t="shared" si="92"/>
        <v>100</v>
      </c>
      <c r="I230" s="73">
        <f>IF(H230="","",IF($I$8="A",(RANK(H230,H$11:H$333,1)+COUNTIF(H$11:H230,H230)-1),(RANK(H230,H$11:H$333)+COUNTIF(H$11:H230,H230)-1)))</f>
        <v>61</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100</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60</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60</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77.777777777777786</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77.777777777777786</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83.333333333333343</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83.333333333333343</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100</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100</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100</v>
      </c>
      <c r="G235" s="15"/>
      <c r="H235" s="41">
        <f t="shared" si="92"/>
        <v>100</v>
      </c>
      <c r="I235" s="73">
        <f>IF(H235="","",IF($I$8="A",(RANK(H235,H$11:H$333,1)+COUNTIF(H$11:H235,H235)-1),(RANK(H235,H$11:H$333)+COUNTIF(H$11:H235,H235)-1)))</f>
        <v>62</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100</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90</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90</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68.965517241379317</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68.965517241379317</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83.333333333333343</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83.333333333333343</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80</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80</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88.888888888888886</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88.888888888888886</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90</v>
      </c>
      <c r="G241" s="15"/>
      <c r="H241" s="41">
        <f t="shared" si="92"/>
        <v>90</v>
      </c>
      <c r="I241" s="73">
        <f>IF(H241="","",IF($I$8="A",(RANK(H241,H$11:H$333,1)+COUNTIF(H$11:H241,H241)-1),(RANK(H241,H$11:H$333)+COUNTIF(H$11:H241,H241)-1)))</f>
        <v>94</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90</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60</v>
      </c>
      <c r="G242" s="15"/>
      <c r="H242" s="41">
        <f t="shared" si="92"/>
        <v>60</v>
      </c>
      <c r="I242" s="73">
        <f>IF(H242="","",IF($I$8="A",(RANK(H242,H$11:H$333,1)+COUNTIF(H$11:H242,H242)-1),(RANK(H242,H$11:H$333)+COUNTIF(H$11:H242,H242)-1)))</f>
        <v>151</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60</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91.666666666666657</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91.666666666666657</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100</v>
      </c>
      <c r="G244" s="15"/>
      <c r="H244" s="41">
        <f t="shared" si="92"/>
        <v>100</v>
      </c>
      <c r="I244" s="73">
        <f>IF(H244="","",IF($I$8="A",(RANK(H244,H$11:H$333,1)+COUNTIF(H$11:H244,H244)-1),(RANK(H244,H$11:H$333)+COUNTIF(H$11:H244,H244)-1)))</f>
        <v>63</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100</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93.75</v>
      </c>
      <c r="G245" s="15"/>
      <c r="H245" s="41">
        <f t="shared" si="92"/>
        <v>93.75</v>
      </c>
      <c r="I245" s="73">
        <f>IF(H245="","",IF($I$8="A",(RANK(H245,H$11:H$333,1)+COUNTIF(H$11:H245,H245)-1),(RANK(H245,H$11:H$333)+COUNTIF(H$11:H245,H245)-1)))</f>
        <v>86</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93.75</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90.909090909090907</v>
      </c>
      <c r="G246" s="15"/>
      <c r="H246" s="41">
        <f t="shared" si="92"/>
        <v>90.909090909090907</v>
      </c>
      <c r="I246" s="73">
        <f>IF(H246="","",IF($I$8="A",(RANK(H246,H$11:H$333,1)+COUNTIF(H$11:H246,H246)-1),(RANK(H246,H$11:H$333)+COUNTIF(H$11:H246,H246)-1)))</f>
        <v>92</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90.909090909090907</v>
      </c>
    </row>
    <row r="247" spans="1:50">
      <c r="A247" s="55" t="str">
        <f>$D$1&amp;237</f>
        <v>SD237</v>
      </c>
      <c r="B247" s="56">
        <f>IF(ISERROR(VLOOKUP(A247,classifications!A:C,3,FALSE)),0,VLOOKUP(A247,classifications!A:C,3,FALSE))</f>
        <v>0</v>
      </c>
      <c r="C247" t="s">
        <v>144</v>
      </c>
      <c r="D247" t="str">
        <f>VLOOKUP($C247,classifications!$C:$J,4,FALSE)</f>
        <v>SD</v>
      </c>
      <c r="E247" t="str">
        <f>VLOOKUP(C247,classifications!C:K,9,FALSE)</f>
        <v>Sparse</v>
      </c>
      <c r="F247">
        <f t="shared" si="91"/>
        <v>80</v>
      </c>
      <c r="G247" s="15"/>
      <c r="H247" s="41">
        <f t="shared" si="92"/>
        <v>80</v>
      </c>
      <c r="I247" s="73">
        <f>IF(H247="","",IF($I$8="A",(RANK(H247,H$11:H$333,1)+COUNTIF(H$11:H247,H247)-1),(RANK(H247,H$11:H$333)+COUNTIF(H$11:H247,H247)-1)))</f>
        <v>125</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80</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100</v>
      </c>
      <c r="G248" s="15"/>
      <c r="H248" s="41">
        <f t="shared" si="92"/>
        <v>100</v>
      </c>
      <c r="I248" s="73">
        <f>IF(H248="","",IF($I$8="A",(RANK(H248,H$11:H$333,1)+COUNTIF(H$11:H248,H248)-1),(RANK(H248,H$11:H$333)+COUNTIF(H$11:H248,H248)-1)))</f>
        <v>64</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100</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100</v>
      </c>
      <c r="G249" s="15"/>
      <c r="H249" s="41">
        <f t="shared" si="92"/>
        <v>100</v>
      </c>
      <c r="I249" s="73">
        <f>IF(H249="","",IF($I$8="A",(RANK(H249,H$11:H$333,1)+COUNTIF(H$11:H249,H249)-1),(RANK(H249,H$11:H$333)+COUNTIF(H$11:H249,H249)-1)))</f>
        <v>65</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100</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f t="shared" si="92"/>
        <v>100</v>
      </c>
      <c r="I250" s="73">
        <f>IF(H250="","",IF($I$8="A",(RANK(H250,H$11:H$333,1)+COUNTIF(H$11:H250,H250)-1),(RANK(H250,H$11:H$333)+COUNTIF(H$11:H250,H250)-1)))</f>
        <v>66</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83.333333333333343</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83.333333333333343</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72.727272727272734</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72.727272727272734</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f t="shared" si="92"/>
        <v>100</v>
      </c>
      <c r="I255" s="73">
        <f>IF(H255="","",IF($I$8="A",(RANK(H255,H$11:H$333,1)+COUNTIF(H$11:H255,H255)-1),(RANK(H255,H$11:H$333)+COUNTIF(H$11:H255,H255)-1)))</f>
        <v>67</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87.5</v>
      </c>
      <c r="G256" s="15"/>
      <c r="H256" s="41">
        <f t="shared" si="92"/>
        <v>87.5</v>
      </c>
      <c r="I256" s="73">
        <f>IF(H256="","",IF($I$8="A",(RANK(H256,H$11:H$333,1)+COUNTIF(H$11:H256,H256)-1),(RANK(H256,H$11:H$333)+COUNTIF(H$11:H256,H256)-1)))</f>
        <v>101</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87.5</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100</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100</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84.615384615384613</v>
      </c>
      <c r="G258" s="15"/>
      <c r="H258" s="41">
        <f t="shared" si="92"/>
        <v>84.615384615384613</v>
      </c>
      <c r="I258" s="73">
        <f>IF(H258="","",IF($I$8="A",(RANK(H258,H$11:H$333,1)+COUNTIF(H$11:H258,H258)-1),(RANK(H258,H$11:H$333)+COUNTIF(H$11:H258,H258)-1)))</f>
        <v>111</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84.615384615384613</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f t="shared" si="92"/>
        <v>100</v>
      </c>
      <c r="I260" s="73">
        <f>IF(H260="","",IF($I$8="A",(RANK(H260,H$11:H$333,1)+COUNTIF(H$11:H260,H260)-1),(RANK(H260,H$11:H$333)+COUNTIF(H$11:H260,H260)-1)))</f>
        <v>68</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100</v>
      </c>
      <c r="G261" s="15"/>
      <c r="H261" s="41">
        <f t="shared" si="92"/>
        <v>100</v>
      </c>
      <c r="I261" s="73">
        <f>IF(H261="","",IF($I$8="A",(RANK(H261,H$11:H$333,1)+COUNTIF(H$11:H261,H261)-1),(RANK(H261,H$11:H$333)+COUNTIF(H$11:H261,H261)-1)))</f>
        <v>69</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100</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100</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100</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66.666666666666657</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66.666666666666657</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91.666666666666657</v>
      </c>
      <c r="G265" s="15"/>
      <c r="H265" s="41">
        <f t="shared" si="92"/>
        <v>91.666666666666657</v>
      </c>
      <c r="I265" s="73">
        <f>IF(H265="","",IF($I$8="A",(RANK(H265,H$11:H$333,1)+COUNTIF(H$11:H265,H265)-1),(RANK(H265,H$11:H$333)+COUNTIF(H$11:H265,H265)-1)))</f>
        <v>89</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91.666666666666657</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87.5</v>
      </c>
      <c r="G266" s="15"/>
      <c r="H266" s="41">
        <f t="shared" si="92"/>
        <v>87.5</v>
      </c>
      <c r="I266" s="73">
        <f>IF(H266="","",IF($I$8="A",(RANK(H266,H$11:H$333,1)+COUNTIF(H$11:H266,H266)-1),(RANK(H266,H$11:H$333)+COUNTIF(H$11:H266,H266)-1)))</f>
        <v>102</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87.5</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27" si="117">IF(K267="","",INDEX(C$11:C$327,MATCH(K267,I$11:I$333,0)))</f>
        <v/>
      </c>
      <c r="M267" s="109" t="str">
        <f t="shared" ref="M267:M327"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27" si="119">IF(ISNA(IF(AL267="","",INDEX(L$11:L$333,MATCH(AL267,AK$11:AK$333,0)))),"",(IF(AL267="","",INDEX(L$11:L$333,MATCH(AL267,AK$11:AK$333,0)))))</f>
        <v/>
      </c>
      <c r="AN267" t="str">
        <f t="shared" ref="AN267:AN327"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27" si="121">IF(AS267="","",INDEX(L$11:L$333,MATCH(AS267,AR$11:AR$333,0)))</f>
        <v/>
      </c>
      <c r="AU267" s="42" t="str">
        <f t="shared" ref="AU267:AU327"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84.615384615384613</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27"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84.615384615384613</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100</v>
      </c>
      <c r="G270" s="15"/>
      <c r="H270" s="41">
        <f t="shared" si="116"/>
        <v>100</v>
      </c>
      <c r="I270" s="73">
        <f>IF(H270="","",IF($I$8="A",(RANK(H270,H$11:H$333,1)+COUNTIF(H$11:H270,H270)-1),(RANK(H270,H$11:H$333)+COUNTIF(H$11:H270,H270)-1)))</f>
        <v>70</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100</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100</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100</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88.235294117647058</v>
      </c>
      <c r="G272" s="15"/>
      <c r="H272" s="41">
        <f t="shared" si="116"/>
        <v>88.235294117647058</v>
      </c>
      <c r="I272" s="73">
        <f>IF(H272="","",IF($I$8="A",(RANK(H272,H$11:H$333,1)+COUNTIF(H$11:H272,H272)-1),(RANK(H272,H$11:H$333)+COUNTIF(H$11:H272,H272)-1)))</f>
        <v>98</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88.235294117647058</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100</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100</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100</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100</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f t="shared" si="116"/>
        <v>100</v>
      </c>
      <c r="I275" s="73">
        <f>IF(H275="","",IF($I$8="A",(RANK(H275,H$11:H$333,1)+COUNTIF(H$11:H275,H275)-1),(RANK(H275,H$11:H$333)+COUNTIF(H$11:H275,H275)-1)))</f>
        <v>71</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60</v>
      </c>
      <c r="G276" s="15"/>
      <c r="H276" s="41">
        <f t="shared" si="116"/>
        <v>60</v>
      </c>
      <c r="I276" s="73">
        <f>IF(H276="","",IF($I$8="A",(RANK(H276,H$11:H$333,1)+COUNTIF(H$11:H276,H276)-1),(RANK(H276,H$11:H$333)+COUNTIF(H$11:H276,H276)-1)))</f>
        <v>152</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60</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69.230769230769226</v>
      </c>
      <c r="G277" s="15"/>
      <c r="H277" s="41">
        <f t="shared" si="116"/>
        <v>69.230769230769226</v>
      </c>
      <c r="I277" s="73">
        <f>IF(H277="","",IF($I$8="A",(RANK(H277,H$11:H$333,1)+COUNTIF(H$11:H277,H277)-1),(RANK(H277,H$11:H$333)+COUNTIF(H$11:H277,H277)-1)))</f>
        <v>139</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69.230769230769226</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94.117647058823522</v>
      </c>
      <c r="G279" s="15"/>
      <c r="H279" s="41">
        <f t="shared" si="116"/>
        <v>94.117647058823522</v>
      </c>
      <c r="I279" s="73">
        <f>IF(H279="","",IF($I$8="A",(RANK(H279,H$11:H$333,1)+COUNTIF(H$11:H279,H279)-1),(RANK(H279,H$11:H$333)+COUNTIF(H$11:H279,H279)-1)))</f>
        <v>85</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94.117647058823522</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100</v>
      </c>
      <c r="G280" s="15"/>
      <c r="H280" s="41">
        <f t="shared" si="116"/>
        <v>100</v>
      </c>
      <c r="I280" s="73">
        <f>IF(H280="","",IF($I$8="A",(RANK(H280,H$11:H$333,1)+COUNTIF(H$11:H280,H280)-1),(RANK(H280,H$11:H$333)+COUNTIF(H$11:H280,H280)-1)))</f>
        <v>72</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100</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85.714285714285708</v>
      </c>
      <c r="G281" s="15"/>
      <c r="H281" s="41">
        <f t="shared" si="116"/>
        <v>85.714285714285708</v>
      </c>
      <c r="I281" s="73">
        <f>IF(H281="","",IF($I$8="A",(RANK(H281,H$11:H$333,1)+COUNTIF(H$11:H281,H281)-1),(RANK(H281,H$11:H$333)+COUNTIF(H$11:H281,H281)-1)))</f>
        <v>108</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85.714285714285708</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73.333333333333329</v>
      </c>
      <c r="G282" s="15"/>
      <c r="H282" s="41">
        <f t="shared" si="116"/>
        <v>73.333333333333329</v>
      </c>
      <c r="I282" s="73">
        <f>IF(H282="","",IF($I$8="A",(RANK(H282,H$11:H$333,1)+COUNTIF(H$11:H282,H282)-1),(RANK(H282,H$11:H$333)+COUNTIF(H$11:H282,H282)-1)))</f>
        <v>132</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73.333333333333329</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100</v>
      </c>
      <c r="G283" s="15"/>
      <c r="H283" s="41">
        <f t="shared" si="116"/>
        <v>100</v>
      </c>
      <c r="I283" s="73">
        <f>IF(H283="","",IF($I$8="A",(RANK(H283,H$11:H$333,1)+COUNTIF(H$11:H283,H283)-1),(RANK(H283,H$11:H$333)+COUNTIF(H$11:H283,H283)-1)))</f>
        <v>73</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100</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100</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100</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80</v>
      </c>
      <c r="G285" s="15"/>
      <c r="H285" s="41">
        <f t="shared" si="116"/>
        <v>80</v>
      </c>
      <c r="I285" s="73">
        <f>IF(H285="","",IF($I$8="A",(RANK(H285,H$11:H$333,1)+COUNTIF(H$11:H285,H285)-1),(RANK(H285,H$11:H$333)+COUNTIF(H$11:H285,H285)-1)))</f>
        <v>126</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80</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66.666666666666657</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66.666666666666657</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100</v>
      </c>
      <c r="G287" s="15"/>
      <c r="H287" s="41">
        <f t="shared" si="116"/>
        <v>100</v>
      </c>
      <c r="I287" s="73">
        <f>IF(H287="","",IF($I$8="A",(RANK(H287,H$11:H$333,1)+COUNTIF(H$11:H287,H287)-1),(RANK(H287,H$11:H$333)+COUNTIF(H$11:H287,H287)-1)))</f>
        <v>74</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100</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87.5</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87.5</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100</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100</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100</v>
      </c>
      <c r="G290" s="15"/>
      <c r="H290" s="41">
        <f t="shared" si="116"/>
        <v>100</v>
      </c>
      <c r="I290" s="73">
        <f>IF(H290="","",IF($I$8="A",(RANK(H290,H$11:H$333,1)+COUNTIF(H$11:H290,H290)-1),(RANK(H290,H$11:H$333)+COUNTIF(H$11:H290,H290)-1)))</f>
        <v>75</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100</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100</v>
      </c>
      <c r="G291" s="15"/>
      <c r="H291" s="41">
        <f t="shared" si="116"/>
        <v>100</v>
      </c>
      <c r="I291" s="73">
        <f>IF(H291="","",IF($I$8="A",(RANK(H291,H$11:H$333,1)+COUNTIF(H$11:H291,H291)-1),(RANK(H291,H$11:H$333)+COUNTIF(H$11:H291,H291)-1)))</f>
        <v>76</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100</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87.5</v>
      </c>
      <c r="G292" s="15"/>
      <c r="H292" s="41">
        <f t="shared" si="116"/>
        <v>87.5</v>
      </c>
      <c r="I292" s="73">
        <f>IF(H292="","",IF($I$8="A",(RANK(H292,H$11:H$333,1)+COUNTIF(H$11:H292,H292)-1),(RANK(H292,H$11:H$333)+COUNTIF(H$11:H292,H292)-1)))</f>
        <v>103</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87.5</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78.571428571428569</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78.571428571428569</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76.923076923076934</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76.923076923076934</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100</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100</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88.888888888888886</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88.888888888888886</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62.5</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62.5</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88.888888888888886</v>
      </c>
      <c r="G298" s="15"/>
      <c r="H298" s="41">
        <f t="shared" si="116"/>
        <v>88.888888888888886</v>
      </c>
      <c r="I298" s="73">
        <f>IF(H298="","",IF($I$8="A",(RANK(H298,H$11:H$333,1)+COUNTIF(H$11:H298,H298)-1),(RANK(H298,H$11:H$333)+COUNTIF(H$11:H298,H298)-1)))</f>
        <v>97</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88.888888888888886</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100</v>
      </c>
      <c r="G300" s="15"/>
      <c r="H300" s="41">
        <f t="shared" si="116"/>
        <v>100</v>
      </c>
      <c r="I300" s="73">
        <f>IF(H300="","",IF($I$8="A",(RANK(H300,H$11:H$333,1)+COUNTIF(H$11:H300,H300)-1),(RANK(H300,H$11:H$333)+COUNTIF(H$11:H300,H300)-1)))</f>
        <v>77</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100</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100</v>
      </c>
      <c r="G301" s="15"/>
      <c r="H301" s="41">
        <f t="shared" si="116"/>
        <v>100</v>
      </c>
      <c r="I301" s="73">
        <f>IF(H301="","",IF($I$8="A",(RANK(H301,H$11:H$333,1)+COUNTIF(H$11:H301,H301)-1),(RANK(H301,H$11:H$333)+COUNTIF(H$11:H301,H301)-1)))</f>
        <v>78</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100</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95</v>
      </c>
      <c r="G302" s="15"/>
      <c r="H302" s="41">
        <f t="shared" si="116"/>
        <v>95</v>
      </c>
      <c r="I302" s="73">
        <f>IF(H302="","",IF($I$8="A",(RANK(H302,H$11:H$333,1)+COUNTIF(H$11:H302,H302)-1),(RANK(H302,H$11:H$333)+COUNTIF(H$11:H302,H302)-1)))</f>
        <v>83</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95</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0</v>
      </c>
      <c r="G303" s="15"/>
      <c r="H303" s="41">
        <f t="shared" si="116"/>
        <v>0</v>
      </c>
      <c r="I303" s="73">
        <f>IF(H303="","",IF($I$8="A",(RANK(H303,H$11:H$333,1)+COUNTIF(H$11:H303,H303)-1),(RANK(H303,H$11:H$333)+COUNTIF(H$11:H303,H303)-1)))</f>
        <v>164</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0</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75</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75</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100</v>
      </c>
      <c r="G305" s="15"/>
      <c r="H305" s="41">
        <f t="shared" si="116"/>
        <v>100</v>
      </c>
      <c r="I305" s="73">
        <f>IF(H305="","",IF($I$8="A",(RANK(H305,H$11:H$333,1)+COUNTIF(H$11:H305,H305)-1),(RANK(H305,H$11:H$333)+COUNTIF(H$11:H305,H305)-1)))</f>
        <v>79</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100</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100</v>
      </c>
      <c r="G306" s="15"/>
      <c r="H306" s="41">
        <f t="shared" si="116"/>
        <v>100</v>
      </c>
      <c r="I306" s="73">
        <f>IF(H306="","",IF($I$8="A",(RANK(H306,H$11:H$333,1)+COUNTIF(H$11:H306,H306)-1),(RANK(H306,H$11:H$333)+COUNTIF(H$11:H306,H306)-1)))</f>
        <v>80</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100</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93.333333333333329</v>
      </c>
      <c r="G307" s="15"/>
      <c r="H307" s="41">
        <f t="shared" si="116"/>
        <v>93.333333333333329</v>
      </c>
      <c r="I307" s="73">
        <f>IF(H307="","",IF($I$8="A",(RANK(H307,H$11:H$333,1)+COUNTIF(H$11:H307,H307)-1),(RANK(H307,H$11:H$333)+COUNTIF(H$11:H307,H307)-1)))</f>
        <v>87</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93.333333333333329</v>
      </c>
    </row>
    <row r="308" spans="1:50">
      <c r="A308" s="55" t="str">
        <f>$D$1&amp;298</f>
        <v>SD298</v>
      </c>
      <c r="B308" s="56">
        <f>IF(ISERROR(VLOOKUP(A308,classifications!A:C,3,FALSE)),0,VLOOKUP(A308,classifications!A:C,3,FALSE))</f>
        <v>0</v>
      </c>
      <c r="C308" t="s">
        <v>898</v>
      </c>
      <c r="D308" t="str">
        <f>VLOOKUP($C308,classifications!$C:$J,4,FALSE)</f>
        <v>UA</v>
      </c>
      <c r="E308" t="str">
        <f>VLOOKUP(C308,classifications!C:K,9,FALSE)</f>
        <v>Sparse</v>
      </c>
      <c r="F308">
        <f t="shared" si="115"/>
        <v>83.333333333333343</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83.333333333333343</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86.666666666666671</v>
      </c>
      <c r="G309" s="15"/>
      <c r="H309" s="41">
        <f t="shared" si="116"/>
        <v>86.666666666666671</v>
      </c>
      <c r="I309" s="73">
        <f>IF(H309="","",IF($I$8="A",(RANK(H309,H$11:H$333,1)+COUNTIF(H$11:H309,H309)-1),(RANK(H309,H$11:H$333)+COUNTIF(H$11:H309,H309)-1)))</f>
        <v>104</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86.666666666666671</v>
      </c>
    </row>
    <row r="310" spans="1:50">
      <c r="A310" s="55" t="str">
        <f>$D$1&amp;300</f>
        <v>SD300</v>
      </c>
      <c r="B310" s="56">
        <f>IF(ISERROR(VLOOKUP(A310,classifications!A:C,3,FALSE)),0,VLOOKUP(A310,classifications!A:C,3,FALSE))</f>
        <v>0</v>
      </c>
      <c r="C310" t="s">
        <v>895</v>
      </c>
      <c r="D310" t="str">
        <f>VLOOKUP($C310,classifications!$C:$J,4,FALSE)</f>
        <v>SD</v>
      </c>
      <c r="E310" t="str">
        <f>VLOOKUP(C310,classifications!C:K,9,FALSE)</f>
        <v>Sparse</v>
      </c>
      <c r="F310">
        <f t="shared" si="115"/>
        <v>90.909090909090907</v>
      </c>
      <c r="G310" s="15"/>
      <c r="H310" s="41">
        <f t="shared" si="116"/>
        <v>90.909090909090907</v>
      </c>
      <c r="I310" s="73">
        <f>IF(H310="","",IF($I$8="A",(RANK(H310,H$11:H$333,1)+COUNTIF(H$11:H310,H310)-1),(RANK(H310,H$11:H$333)+COUNTIF(H$11:H310,H310)-1)))</f>
        <v>93</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90.909090909090907</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100</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100</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92.307692307692307</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92.307692307692307</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96</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96</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71.428571428571431</v>
      </c>
      <c r="G315" s="15"/>
      <c r="H315" s="41">
        <f t="shared" si="116"/>
        <v>71.428571428571431</v>
      </c>
      <c r="I315" s="73">
        <f>IF(H315="","",IF($I$8="A",(RANK(H315,H$11:H$333,1)+COUNTIF(H$11:H315,H315)-1),(RANK(H315,H$11:H$333)+COUNTIF(H$11:H315,H315)-1)))</f>
        <v>137</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71.428571428571431</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85.714285714285708</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85.714285714285708</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90.909090909090907</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90.909090909090907</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50</v>
      </c>
      <c r="G318" s="15"/>
      <c r="H318" s="41">
        <f t="shared" si="116"/>
        <v>50</v>
      </c>
      <c r="I318" s="73">
        <f>IF(H318="","",IF($I$8="A",(RANK(H318,H$11:H$333,1)+COUNTIF(H$11:H318,H318)-1),(RANK(H318,H$11:H$333)+COUNTIF(H$11:H318,H318)-1)))</f>
        <v>156</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50</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100</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100</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100</v>
      </c>
      <c r="G321" s="15"/>
      <c r="H321" s="41">
        <f t="shared" si="116"/>
        <v>100</v>
      </c>
      <c r="I321" s="73">
        <f>IF(H321="","",IF($I$8="A",(RANK(H321,H$11:H$333,1)+COUNTIF(H$11:H321,H321)-1),(RANK(H321,H$11:H$333)+COUNTIF(H$11:H321,H321)-1)))</f>
        <v>81</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100</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100</v>
      </c>
      <c r="G323" s="15"/>
      <c r="H323" s="41">
        <f t="shared" si="116"/>
        <v>100</v>
      </c>
      <c r="I323" s="73">
        <f>IF(H323="","",IF($I$8="A",(RANK(H323,H$11:H$333,1)+COUNTIF(H$11:H323,H323)-1),(RANK(H323,H$11:H$333)+COUNTIF(H$11:H323,H323)-1)))</f>
        <v>82</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100</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62.5</v>
      </c>
      <c r="G324" s="15"/>
      <c r="H324" s="41">
        <f t="shared" si="116"/>
        <v>62.5</v>
      </c>
      <c r="I324" s="73">
        <f>IF(H324="","",IF($I$8="A",(RANK(H324,H$11:H$333,1)+COUNTIF(H$11:H324,H324)-1),(RANK(H324,H$11:H$333)+COUNTIF(H$11:H324,H324)-1)))</f>
        <v>147</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62.5</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71.428571428571431</v>
      </c>
      <c r="G325" s="15"/>
      <c r="H325" s="41">
        <f t="shared" si="116"/>
        <v>71.428571428571431</v>
      </c>
      <c r="I325" s="73">
        <f>IF(H325="","",IF($I$8="A",(RANK(H325,H$11:H$333,1)+COUNTIF(H$11:H325,H325)-1),(RANK(H325,H$11:H$333)+COUNTIF(H$11:H325,H325)-1)))</f>
        <v>138</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71.428571428571431</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16.666666666666664</v>
      </c>
      <c r="G326" s="15"/>
      <c r="H326" s="41">
        <f t="shared" si="116"/>
        <v>16.666666666666664</v>
      </c>
      <c r="I326" s="73">
        <f>IF(H326="","",IF($I$8="A",(RANK(H326,H$11:H$333,1)+COUNTIF(H$11:H326,H326)-1),(RANK(H326,H$11:H$333)+COUNTIF(H$11:H326,H326)-1)))</f>
        <v>158</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16.666666666666664</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100</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100</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4" sqref="F4: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904</v>
      </c>
      <c r="B2" t="s">
        <v>811</v>
      </c>
      <c r="C2" t="s">
        <v>822</v>
      </c>
      <c r="D2" t="s">
        <v>887</v>
      </c>
      <c r="F2" t="s">
        <v>902</v>
      </c>
    </row>
    <row r="3" spans="1:6" ht="14.4">
      <c r="A3" s="232" t="s">
        <v>905</v>
      </c>
      <c r="B3" t="s">
        <v>811</v>
      </c>
      <c r="C3" t="s">
        <v>822</v>
      </c>
      <c r="D3" t="s">
        <v>887</v>
      </c>
      <c r="F3" t="s">
        <v>903</v>
      </c>
    </row>
    <row r="4" spans="1:6" ht="14.4">
      <c r="A4" s="232" t="s">
        <v>906</v>
      </c>
      <c r="B4" t="s">
        <v>811</v>
      </c>
      <c r="C4" t="s">
        <v>822</v>
      </c>
      <c r="D4" t="s">
        <v>887</v>
      </c>
      <c r="F4" t="s">
        <v>907</v>
      </c>
    </row>
    <row r="5" spans="1:6" ht="14.4">
      <c r="A5" s="198"/>
      <c r="F5" t="s">
        <v>908</v>
      </c>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I4" sqref="I4:N303"/>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time2023 Q1</v>
      </c>
      <c r="D1" s="136" t="str">
        <f t="shared" ref="D1:BI1" si="0">D4&amp;D5</f>
        <v>Minor Developments - % decisions in time2023 Q1</v>
      </c>
      <c r="E1" s="136" t="str">
        <f t="shared" si="0"/>
        <v>Other Developments - % decisions in time2023 Q1</v>
      </c>
      <c r="F1" s="136" t="str">
        <f t="shared" si="0"/>
        <v>Major Developments - % decisions in time2023 Q2</v>
      </c>
      <c r="G1" s="136" t="str">
        <f t="shared" si="0"/>
        <v>Minor Developments - % decisions in time2023 Q2</v>
      </c>
      <c r="H1" s="136" t="str">
        <f t="shared" si="0"/>
        <v>Other Developments - % decisions in time2023 Q2</v>
      </c>
      <c r="I1" s="136" t="str">
        <f t="shared" si="0"/>
        <v>Major Developments - % decisions in time2023 Q3</v>
      </c>
      <c r="J1" s="136" t="str">
        <f t="shared" si="0"/>
        <v>Minor Developments - % decisions in time2023 Q3</v>
      </c>
      <c r="K1" s="136" t="str">
        <f t="shared" si="0"/>
        <v>Other Developments - % decisions in time2023 Q3</v>
      </c>
      <c r="L1" s="136" t="str">
        <f t="shared" si="0"/>
        <v>Major Developments - % decisions in time2023 Q4</v>
      </c>
      <c r="M1" s="136" t="str">
        <f t="shared" si="0"/>
        <v>Minor Developments - % decisions in time2023 Q4</v>
      </c>
      <c r="N1" s="136" t="str">
        <f t="shared" si="0"/>
        <v>Other Developments - % decisions in time2023 Q4</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904</v>
      </c>
      <c r="D4" s="232" t="s">
        <v>905</v>
      </c>
      <c r="E4" s="232" t="s">
        <v>906</v>
      </c>
      <c r="F4" s="232" t="s">
        <v>904</v>
      </c>
      <c r="G4" s="232" t="s">
        <v>905</v>
      </c>
      <c r="H4" s="232" t="s">
        <v>906</v>
      </c>
      <c r="I4" s="212" t="s">
        <v>904</v>
      </c>
      <c r="J4" s="212" t="s">
        <v>905</v>
      </c>
      <c r="K4" s="212" t="s">
        <v>906</v>
      </c>
      <c r="L4" s="212" t="s">
        <v>904</v>
      </c>
      <c r="M4" s="212" t="s">
        <v>905</v>
      </c>
      <c r="N4" s="212" t="s">
        <v>906</v>
      </c>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902</v>
      </c>
      <c r="D5" t="s">
        <v>902</v>
      </c>
      <c r="E5" t="s">
        <v>902</v>
      </c>
      <c r="F5" t="s">
        <v>903</v>
      </c>
      <c r="G5" t="s">
        <v>903</v>
      </c>
      <c r="H5" t="s">
        <v>903</v>
      </c>
      <c r="I5" t="s">
        <v>907</v>
      </c>
      <c r="J5" t="s">
        <v>907</v>
      </c>
      <c r="K5" t="s">
        <v>907</v>
      </c>
      <c r="L5" t="s">
        <v>908</v>
      </c>
      <c r="M5" t="s">
        <v>908</v>
      </c>
      <c r="N5" t="s">
        <v>908</v>
      </c>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t="s">
        <v>885</v>
      </c>
      <c r="G6" s="155" t="s">
        <v>885</v>
      </c>
      <c r="H6" s="155" t="s">
        <v>885</v>
      </c>
      <c r="I6" s="155" t="s">
        <v>885</v>
      </c>
      <c r="J6" s="155" t="s">
        <v>885</v>
      </c>
      <c r="K6" s="155" t="s">
        <v>885</v>
      </c>
      <c r="L6" s="155" t="s">
        <v>885</v>
      </c>
      <c r="M6" s="155" t="s">
        <v>885</v>
      </c>
      <c r="N6" s="155" t="s">
        <v>885</v>
      </c>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100</v>
      </c>
      <c r="D7">
        <v>86.956521739130437</v>
      </c>
      <c r="E7">
        <v>96.428571428571431</v>
      </c>
      <c r="F7">
        <v>100</v>
      </c>
      <c r="G7">
        <v>100</v>
      </c>
      <c r="H7">
        <v>95.180722891566262</v>
      </c>
      <c r="I7">
        <v>100</v>
      </c>
      <c r="J7">
        <v>92.307692307692307</v>
      </c>
      <c r="K7">
        <v>93.442622950819683</v>
      </c>
      <c r="L7">
        <v>0</v>
      </c>
      <c r="M7">
        <v>96.15384615384616</v>
      </c>
      <c r="N7">
        <v>95.180722891566262</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100</v>
      </c>
      <c r="D8">
        <v>86.666666666666671</v>
      </c>
      <c r="E8">
        <v>96.913580246913583</v>
      </c>
      <c r="F8">
        <v>100</v>
      </c>
      <c r="G8">
        <v>58.620689655172406</v>
      </c>
      <c r="H8">
        <v>99.397590361445793</v>
      </c>
      <c r="I8">
        <v>75</v>
      </c>
      <c r="J8">
        <v>92.1875</v>
      </c>
      <c r="K8">
        <v>98.6013986013986</v>
      </c>
      <c r="L8">
        <v>100</v>
      </c>
      <c r="M8">
        <v>90.277777777777786</v>
      </c>
      <c r="N8">
        <v>97.222222222222214</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60</v>
      </c>
      <c r="D9">
        <v>75</v>
      </c>
      <c r="E9">
        <v>94.805194805194802</v>
      </c>
      <c r="F9">
        <v>64.285714285714292</v>
      </c>
      <c r="G9">
        <v>76.271186440677965</v>
      </c>
      <c r="H9">
        <v>96.685082872928177</v>
      </c>
      <c r="I9">
        <v>75</v>
      </c>
      <c r="J9">
        <v>88.059701492537314</v>
      </c>
      <c r="K9">
        <v>94.797687861271669</v>
      </c>
      <c r="L9">
        <v>83.333333333333343</v>
      </c>
      <c r="M9">
        <v>89.795918367346943</v>
      </c>
      <c r="N9">
        <v>96.527777777777786</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66.666666666666657</v>
      </c>
      <c r="D10">
        <v>58.974358974358978</v>
      </c>
      <c r="E10">
        <v>77.41935483870968</v>
      </c>
      <c r="F10">
        <v>70</v>
      </c>
      <c r="G10">
        <v>58.139534883720934</v>
      </c>
      <c r="H10">
        <v>69.014084507042256</v>
      </c>
      <c r="I10">
        <v>66.666666666666657</v>
      </c>
      <c r="J10">
        <v>81.818181818181827</v>
      </c>
      <c r="K10">
        <v>76.470588235294116</v>
      </c>
      <c r="L10">
        <v>80</v>
      </c>
      <c r="M10">
        <v>87.096774193548384</v>
      </c>
      <c r="N10">
        <v>91.666666666666657</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77.777777777777786</v>
      </c>
      <c r="D11">
        <v>74.380165289256198</v>
      </c>
      <c r="E11">
        <v>89.558232931726906</v>
      </c>
      <c r="F11">
        <v>44.444444444444443</v>
      </c>
      <c r="G11">
        <v>43.75</v>
      </c>
      <c r="H11">
        <v>89.805825242718456</v>
      </c>
      <c r="I11">
        <v>66.666666666666657</v>
      </c>
      <c r="J11">
        <v>76.530612244897952</v>
      </c>
      <c r="K11">
        <v>89.743589743589752</v>
      </c>
      <c r="L11">
        <v>87.5</v>
      </c>
      <c r="M11">
        <v>73.333333333333329</v>
      </c>
      <c r="N11">
        <v>88.81987577639751</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100</v>
      </c>
      <c r="D12">
        <v>84.745762711864401</v>
      </c>
      <c r="E12">
        <v>97.076023391812853</v>
      </c>
      <c r="F12">
        <v>100</v>
      </c>
      <c r="G12">
        <v>75.384615384615387</v>
      </c>
      <c r="H12">
        <v>95.431472081218274</v>
      </c>
      <c r="I12">
        <v>100</v>
      </c>
      <c r="J12">
        <v>85.714285714285708</v>
      </c>
      <c r="K12">
        <v>94.054054054054063</v>
      </c>
      <c r="L12">
        <v>100</v>
      </c>
      <c r="M12">
        <v>89.65517241379311</v>
      </c>
      <c r="N12">
        <v>96.078431372549019</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v>100</v>
      </c>
      <c r="G13">
        <v>100</v>
      </c>
      <c r="H13">
        <v>100</v>
      </c>
      <c r="I13">
        <v>100</v>
      </c>
      <c r="J13">
        <v>100</v>
      </c>
      <c r="K13">
        <v>100</v>
      </c>
      <c r="L13">
        <v>100</v>
      </c>
      <c r="M13">
        <v>100</v>
      </c>
      <c r="N13">
        <v>100</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90</v>
      </c>
      <c r="D14">
        <v>71.641791044776113</v>
      </c>
      <c r="E14">
        <v>71.136363636363626</v>
      </c>
      <c r="F14">
        <v>54.54545454545454</v>
      </c>
      <c r="G14">
        <v>84.090909090909093</v>
      </c>
      <c r="H14">
        <v>81.92771084337349</v>
      </c>
      <c r="I14">
        <v>100</v>
      </c>
      <c r="J14">
        <v>80.888888888888886</v>
      </c>
      <c r="K14">
        <v>84.722222222222214</v>
      </c>
      <c r="L14">
        <v>100</v>
      </c>
      <c r="M14">
        <v>84.937238493723854</v>
      </c>
      <c r="N14">
        <v>88.68312757201646</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93.478260869565219</v>
      </c>
      <c r="E15">
        <v>94.573643410852711</v>
      </c>
      <c r="F15">
        <v>100</v>
      </c>
      <c r="G15">
        <v>89.65517241379311</v>
      </c>
      <c r="H15">
        <v>93.220338983050837</v>
      </c>
      <c r="I15">
        <v>100</v>
      </c>
      <c r="J15">
        <v>91.379310344827587</v>
      </c>
      <c r="K15">
        <v>98.319327731092429</v>
      </c>
      <c r="L15">
        <v>100</v>
      </c>
      <c r="M15">
        <v>94.339622641509436</v>
      </c>
      <c r="N15">
        <v>97.5</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100</v>
      </c>
      <c r="D16">
        <v>54.54545454545454</v>
      </c>
      <c r="E16">
        <v>77.714285714285708</v>
      </c>
      <c r="F16">
        <v>90</v>
      </c>
      <c r="G16">
        <v>73.68421052631578</v>
      </c>
      <c r="H16">
        <v>84.065934065934073</v>
      </c>
      <c r="I16">
        <v>80</v>
      </c>
      <c r="J16">
        <v>68.085106382978722</v>
      </c>
      <c r="K16">
        <v>78.709677419354847</v>
      </c>
      <c r="L16">
        <v>100</v>
      </c>
      <c r="M16">
        <v>78.048780487804876</v>
      </c>
      <c r="N16">
        <v>81.679389312977108</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75</v>
      </c>
      <c r="D17">
        <v>73.076923076923066</v>
      </c>
      <c r="E17">
        <v>87.614678899082563</v>
      </c>
      <c r="F17">
        <v>100</v>
      </c>
      <c r="G17">
        <v>75.609756097560975</v>
      </c>
      <c r="H17">
        <v>91.62561576354679</v>
      </c>
      <c r="I17">
        <v>66.666666666666657</v>
      </c>
      <c r="J17">
        <v>80.952380952380949</v>
      </c>
      <c r="K17">
        <v>88.888888888888886</v>
      </c>
      <c r="L17">
        <v>100</v>
      </c>
      <c r="M17">
        <v>78.021978021978029</v>
      </c>
      <c r="N17">
        <v>91.83673469387756</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93.333333333333329</v>
      </c>
      <c r="D18">
        <v>88.461538461538453</v>
      </c>
      <c r="E18">
        <v>96.907216494845358</v>
      </c>
      <c r="F18">
        <v>85.714285714285708</v>
      </c>
      <c r="G18">
        <v>87.2340425531915</v>
      </c>
      <c r="H18">
        <v>90.099009900990097</v>
      </c>
      <c r="I18">
        <v>100</v>
      </c>
      <c r="J18">
        <v>73.91304347826086</v>
      </c>
      <c r="K18">
        <v>70.930232558139537</v>
      </c>
      <c r="L18">
        <v>85.714285714285708</v>
      </c>
      <c r="M18">
        <v>80</v>
      </c>
      <c r="N18">
        <v>86.486486486486484</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87.5</v>
      </c>
      <c r="D19">
        <v>85.714285714285708</v>
      </c>
      <c r="E19">
        <v>85.483870967741936</v>
      </c>
      <c r="F19">
        <v>100</v>
      </c>
      <c r="G19">
        <v>89.130434782608688</v>
      </c>
      <c r="H19">
        <v>79.342723004694832</v>
      </c>
      <c r="I19">
        <v>100</v>
      </c>
      <c r="J19">
        <v>85.227272727272734</v>
      </c>
      <c r="K19">
        <v>86.629526462395546</v>
      </c>
      <c r="L19">
        <v>100</v>
      </c>
      <c r="M19">
        <v>85.858585858585855</v>
      </c>
      <c r="N19">
        <v>82.991202346041064</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100</v>
      </c>
      <c r="D20">
        <v>68.75</v>
      </c>
      <c r="E20">
        <v>84.651162790697683</v>
      </c>
      <c r="F20">
        <v>92.307692307692307</v>
      </c>
      <c r="G20">
        <v>58.333333333333336</v>
      </c>
      <c r="H20">
        <v>92.982456140350877</v>
      </c>
      <c r="I20">
        <v>83.333333333333343</v>
      </c>
      <c r="J20">
        <v>76.623376623376629</v>
      </c>
      <c r="K20">
        <v>87.37373737373737</v>
      </c>
      <c r="L20">
        <v>90</v>
      </c>
      <c r="M20">
        <v>91.428571428571431</v>
      </c>
      <c r="N20">
        <v>91.121495327102807</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94.642857142857139</v>
      </c>
      <c r="E21">
        <v>94.137931034482762</v>
      </c>
      <c r="F21">
        <v>100</v>
      </c>
      <c r="G21">
        <v>91.228070175438589</v>
      </c>
      <c r="H21">
        <v>97.142857142857139</v>
      </c>
      <c r="I21">
        <v>100</v>
      </c>
      <c r="J21">
        <v>88.372093023255815</v>
      </c>
      <c r="K21">
        <v>94.637223974763401</v>
      </c>
      <c r="L21">
        <v>100</v>
      </c>
      <c r="M21">
        <v>78.082191780821915</v>
      </c>
      <c r="N21">
        <v>91.40625</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100</v>
      </c>
      <c r="D22">
        <v>89.641434262948209</v>
      </c>
      <c r="E22">
        <v>87.987679671457911</v>
      </c>
      <c r="F22">
        <v>88</v>
      </c>
      <c r="G22">
        <v>86.976744186046503</v>
      </c>
      <c r="H22">
        <v>93.609022556390968</v>
      </c>
      <c r="I22">
        <v>96.428571428571431</v>
      </c>
      <c r="J22">
        <v>80.512820512820511</v>
      </c>
      <c r="K22">
        <v>92.091152815013402</v>
      </c>
      <c r="L22">
        <v>86.36363636363636</v>
      </c>
      <c r="M22">
        <v>90.495867768595033</v>
      </c>
      <c r="N22">
        <v>89.074550128534696</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100</v>
      </c>
      <c r="D23">
        <v>97.5</v>
      </c>
      <c r="E23">
        <v>93.406593406593402</v>
      </c>
      <c r="F23">
        <v>100</v>
      </c>
      <c r="G23">
        <v>93.103448275862064</v>
      </c>
      <c r="H23">
        <v>95.348837209302332</v>
      </c>
      <c r="I23">
        <v>100</v>
      </c>
      <c r="J23">
        <v>79.310344827586206</v>
      </c>
      <c r="K23">
        <v>97.457627118644069</v>
      </c>
      <c r="L23">
        <v>83.333333333333343</v>
      </c>
      <c r="M23">
        <v>96.875</v>
      </c>
      <c r="N23">
        <v>93.396226415094347</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96.428571428571431</v>
      </c>
      <c r="E24">
        <v>95.78947368421052</v>
      </c>
      <c r="F24">
        <v>100</v>
      </c>
      <c r="G24">
        <v>97.435897435897431</v>
      </c>
      <c r="H24">
        <v>96.703296703296701</v>
      </c>
      <c r="I24">
        <v>100</v>
      </c>
      <c r="J24">
        <v>100</v>
      </c>
      <c r="K24">
        <v>98.979591836734699</v>
      </c>
      <c r="L24">
        <v>100</v>
      </c>
      <c r="M24">
        <v>100</v>
      </c>
      <c r="N24">
        <v>98.958333333333343</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83.333333333333343</v>
      </c>
      <c r="D25">
        <v>74.193548387096769</v>
      </c>
      <c r="E25">
        <v>90.163934426229503</v>
      </c>
      <c r="F25">
        <v>100</v>
      </c>
      <c r="G25">
        <v>65.625</v>
      </c>
      <c r="H25">
        <v>88.235294117647058</v>
      </c>
      <c r="I25">
        <v>80</v>
      </c>
      <c r="J25">
        <v>73.68421052631578</v>
      </c>
      <c r="K25">
        <v>86.206896551724128</v>
      </c>
      <c r="L25">
        <v>100</v>
      </c>
      <c r="M25">
        <v>90.322580645161281</v>
      </c>
      <c r="N25">
        <v>84.375</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100</v>
      </c>
      <c r="D26">
        <v>76.923076923076934</v>
      </c>
      <c r="E26">
        <v>94.642857142857139</v>
      </c>
      <c r="F26">
        <v>100</v>
      </c>
      <c r="G26">
        <v>89.285714285714292</v>
      </c>
      <c r="H26">
        <v>100</v>
      </c>
      <c r="I26">
        <v>100</v>
      </c>
      <c r="J26">
        <v>100</v>
      </c>
      <c r="K26">
        <v>98.412698412698404</v>
      </c>
      <c r="L26">
        <v>85.714285714285708</v>
      </c>
      <c r="M26">
        <v>100</v>
      </c>
      <c r="N26">
        <v>98.039215686274503</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95.454545454545453</v>
      </c>
      <c r="D27">
        <v>90.243902439024396</v>
      </c>
      <c r="E27">
        <v>88.202247191011239</v>
      </c>
      <c r="F27">
        <v>100</v>
      </c>
      <c r="G27">
        <v>84.146341463414629</v>
      </c>
      <c r="H27">
        <v>89.568345323740999</v>
      </c>
      <c r="I27">
        <v>92.307692307692307</v>
      </c>
      <c r="J27">
        <v>88.571428571428569</v>
      </c>
      <c r="K27">
        <v>92.156862745098039</v>
      </c>
      <c r="L27">
        <v>81.818181818181827</v>
      </c>
      <c r="M27">
        <v>94.117647058823522</v>
      </c>
      <c r="N27">
        <v>93.84615384615384</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88.888888888888886</v>
      </c>
      <c r="D28">
        <v>86.842105263157904</v>
      </c>
      <c r="E28">
        <v>97.560975609756099</v>
      </c>
      <c r="F28">
        <v>100</v>
      </c>
      <c r="G28">
        <v>75</v>
      </c>
      <c r="H28">
        <v>81.081081081081081</v>
      </c>
      <c r="I28">
        <v>90</v>
      </c>
      <c r="J28">
        <v>88.461538461538453</v>
      </c>
      <c r="K28">
        <v>90.909090909090907</v>
      </c>
      <c r="L28">
        <v>100</v>
      </c>
      <c r="M28">
        <v>88.888888888888886</v>
      </c>
      <c r="N28">
        <v>93.75</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78.571428571428569</v>
      </c>
      <c r="D29">
        <v>74.869109947643977</v>
      </c>
      <c r="E29">
        <v>86.422976501305484</v>
      </c>
      <c r="F29">
        <v>84</v>
      </c>
      <c r="G29">
        <v>73.300970873786412</v>
      </c>
      <c r="H29">
        <v>84.633027522935777</v>
      </c>
      <c r="I29">
        <v>86.36363636363636</v>
      </c>
      <c r="J29">
        <v>68.055555555555557</v>
      </c>
      <c r="K29">
        <v>85.682819383259911</v>
      </c>
      <c r="L29">
        <v>80</v>
      </c>
      <c r="M29">
        <v>69.849246231155774</v>
      </c>
      <c r="N29">
        <v>85.749385749385752</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83.333333333333343</v>
      </c>
      <c r="D30">
        <v>70.967741935483872</v>
      </c>
      <c r="E30">
        <v>84.166666666666671</v>
      </c>
      <c r="F30">
        <v>100</v>
      </c>
      <c r="G30">
        <v>84</v>
      </c>
      <c r="H30">
        <v>91.304347826086953</v>
      </c>
      <c r="I30">
        <v>88.888888888888886</v>
      </c>
      <c r="J30">
        <v>96</v>
      </c>
      <c r="K30">
        <v>85.470085470085465</v>
      </c>
      <c r="L30">
        <v>88.888888888888886</v>
      </c>
      <c r="M30">
        <v>91.428571428571431</v>
      </c>
      <c r="N30">
        <v>98.360655737704917</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66.666666666666657</v>
      </c>
      <c r="D31">
        <v>84.393063583815035</v>
      </c>
      <c r="E31">
        <v>90.547263681592042</v>
      </c>
      <c r="F31">
        <v>87.5</v>
      </c>
      <c r="G31">
        <v>83.536585365853654</v>
      </c>
      <c r="H31">
        <v>91.348088531187116</v>
      </c>
      <c r="I31">
        <v>100</v>
      </c>
      <c r="J31">
        <v>84.466019417475721</v>
      </c>
      <c r="K31">
        <v>91.666666666666657</v>
      </c>
      <c r="L31">
        <v>100</v>
      </c>
      <c r="M31">
        <v>88</v>
      </c>
      <c r="N31">
        <v>90.973871733966746</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92.307692307692307</v>
      </c>
      <c r="D32">
        <v>89.743589743589752</v>
      </c>
      <c r="E32">
        <v>92.178770949720672</v>
      </c>
      <c r="F32">
        <v>94.73684210526315</v>
      </c>
      <c r="G32">
        <v>86.36363636363636</v>
      </c>
      <c r="H32">
        <v>92.857142857142861</v>
      </c>
      <c r="I32">
        <v>90.909090909090907</v>
      </c>
      <c r="J32">
        <v>85.263157894736835</v>
      </c>
      <c r="K32">
        <v>93.529411764705884</v>
      </c>
      <c r="L32">
        <v>80</v>
      </c>
      <c r="M32">
        <v>85.576923076923066</v>
      </c>
      <c r="N32">
        <v>84.444444444444443</v>
      </c>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94.444444444444443</v>
      </c>
      <c r="D33">
        <v>85</v>
      </c>
      <c r="E33">
        <v>97.368421052631575</v>
      </c>
      <c r="F33">
        <v>84.615384615384613</v>
      </c>
      <c r="G33">
        <v>93.333333333333329</v>
      </c>
      <c r="H33">
        <v>98.620689655172413</v>
      </c>
      <c r="I33">
        <v>87.5</v>
      </c>
      <c r="J33">
        <v>89.65517241379311</v>
      </c>
      <c r="K33">
        <v>97.826086956521735</v>
      </c>
      <c r="L33">
        <v>84.615384615384613</v>
      </c>
      <c r="M33">
        <v>88.043478260869563</v>
      </c>
      <c r="N33">
        <v>99.21875</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75.714285714285708</v>
      </c>
      <c r="E34">
        <v>81.15384615384616</v>
      </c>
      <c r="F34">
        <v>100</v>
      </c>
      <c r="G34">
        <v>82.075471698113205</v>
      </c>
      <c r="H34">
        <v>88.326848249027236</v>
      </c>
      <c r="I34">
        <v>100</v>
      </c>
      <c r="J34">
        <v>84.54106280193237</v>
      </c>
      <c r="K34">
        <v>88.48684210526315</v>
      </c>
      <c r="L34">
        <v>100</v>
      </c>
      <c r="M34">
        <v>76.966292134831463</v>
      </c>
      <c r="N34">
        <v>87.030716723549489</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100</v>
      </c>
      <c r="D35">
        <v>92.307692307692307</v>
      </c>
      <c r="E35">
        <v>98.870056497175142</v>
      </c>
      <c r="F35">
        <v>100</v>
      </c>
      <c r="G35">
        <v>100</v>
      </c>
      <c r="H35">
        <v>100</v>
      </c>
      <c r="I35">
        <v>100</v>
      </c>
      <c r="J35">
        <v>97.014925373134332</v>
      </c>
      <c r="K35">
        <v>98.639455782312922</v>
      </c>
      <c r="L35">
        <v>100</v>
      </c>
      <c r="M35">
        <v>98.360655737704917</v>
      </c>
      <c r="N35">
        <v>96.551724137931032</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83.333333333333343</v>
      </c>
      <c r="D36">
        <v>89.156626506024097</v>
      </c>
      <c r="E36">
        <v>88.513513513513516</v>
      </c>
      <c r="F36">
        <v>100</v>
      </c>
      <c r="G36">
        <v>92.05298013245033</v>
      </c>
      <c r="H36">
        <v>91.408934707903782</v>
      </c>
      <c r="I36">
        <v>100</v>
      </c>
      <c r="J36">
        <v>89.204545454545453</v>
      </c>
      <c r="K36">
        <v>88.157894736842096</v>
      </c>
      <c r="L36">
        <v>100</v>
      </c>
      <c r="M36">
        <v>92.715231788079464</v>
      </c>
      <c r="N36">
        <v>88.808664259927795</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100</v>
      </c>
      <c r="D37">
        <v>47.474747474747474</v>
      </c>
      <c r="E37">
        <v>56.399999999999991</v>
      </c>
      <c r="F37">
        <v>81.818181818181827</v>
      </c>
      <c r="G37">
        <v>58.426966292134829</v>
      </c>
      <c r="H37">
        <v>72.395833333333343</v>
      </c>
      <c r="I37">
        <v>80</v>
      </c>
      <c r="J37">
        <v>57.798165137614674</v>
      </c>
      <c r="K37">
        <v>62.777777777777779</v>
      </c>
      <c r="L37">
        <v>87.5</v>
      </c>
      <c r="M37">
        <v>51.030927835051543</v>
      </c>
      <c r="N37">
        <v>68.062827225130889</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80</v>
      </c>
      <c r="D38">
        <v>87.179487179487182</v>
      </c>
      <c r="E38">
        <v>89.820359281437121</v>
      </c>
      <c r="F38">
        <v>91.666666666666657</v>
      </c>
      <c r="G38">
        <v>86.206896551724128</v>
      </c>
      <c r="H38">
        <v>78.688524590163937</v>
      </c>
      <c r="I38">
        <v>100</v>
      </c>
      <c r="J38">
        <v>86.666666666666671</v>
      </c>
      <c r="K38">
        <v>92.934782608695656</v>
      </c>
      <c r="L38">
        <v>90.909090909090907</v>
      </c>
      <c r="M38">
        <v>96.078431372549019</v>
      </c>
      <c r="N38">
        <v>97.52066115702479</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100</v>
      </c>
      <c r="D39">
        <v>82</v>
      </c>
      <c r="E39">
        <v>84.130019120458883</v>
      </c>
      <c r="F39">
        <v>100</v>
      </c>
      <c r="G39">
        <v>75.510204081632651</v>
      </c>
      <c r="H39">
        <v>88.576779026217238</v>
      </c>
      <c r="I39">
        <v>50</v>
      </c>
      <c r="J39">
        <v>72.549019607843135</v>
      </c>
      <c r="K39">
        <v>88.325991189427313</v>
      </c>
      <c r="L39">
        <v>71.428571428571431</v>
      </c>
      <c r="M39">
        <v>76.153846153846146</v>
      </c>
      <c r="N39">
        <v>87.623762376237622</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100</v>
      </c>
      <c r="D40">
        <v>88.888888888888886</v>
      </c>
      <c r="E40">
        <v>88.495575221238937</v>
      </c>
      <c r="F40">
        <v>85.714285714285708</v>
      </c>
      <c r="G40">
        <v>94.73684210526315</v>
      </c>
      <c r="H40">
        <v>83.333333333333343</v>
      </c>
      <c r="I40">
        <v>100</v>
      </c>
      <c r="J40">
        <v>93.939393939393938</v>
      </c>
      <c r="K40">
        <v>85.436893203883486</v>
      </c>
      <c r="L40">
        <v>33.333333333333329</v>
      </c>
      <c r="M40">
        <v>81.395348837209298</v>
      </c>
      <c r="N40">
        <v>92.783505154639172</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80</v>
      </c>
      <c r="D41">
        <v>84.210526315789465</v>
      </c>
      <c r="E41">
        <v>91.666666666666657</v>
      </c>
      <c r="F41">
        <v>100</v>
      </c>
      <c r="G41">
        <v>76.19047619047619</v>
      </c>
      <c r="H41">
        <v>89.130434782608688</v>
      </c>
      <c r="I41">
        <v>0</v>
      </c>
      <c r="J41">
        <v>75.925925925925924</v>
      </c>
      <c r="K41">
        <v>88.421052631578945</v>
      </c>
      <c r="L41">
        <v>100</v>
      </c>
      <c r="M41">
        <v>93.548387096774192</v>
      </c>
      <c r="N41">
        <v>85.416666666666657</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90</v>
      </c>
      <c r="D42">
        <v>85</v>
      </c>
      <c r="E42">
        <v>96.721311475409834</v>
      </c>
      <c r="F42">
        <v>85.714285714285708</v>
      </c>
      <c r="G42">
        <v>91.428571428571431</v>
      </c>
      <c r="H42">
        <v>98.290598290598282</v>
      </c>
      <c r="I42">
        <v>66.666666666666657</v>
      </c>
      <c r="J42">
        <v>85.714285714285708</v>
      </c>
      <c r="K42">
        <v>99.009900990099013</v>
      </c>
      <c r="L42">
        <v>75</v>
      </c>
      <c r="M42">
        <v>84.615384615384613</v>
      </c>
      <c r="N42">
        <v>98.850574712643677</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90.243902439024396</v>
      </c>
      <c r="D43">
        <v>83.193277310924373</v>
      </c>
      <c r="E43">
        <v>92.989289191820831</v>
      </c>
      <c r="F43">
        <v>87.878787878787875</v>
      </c>
      <c r="G43">
        <v>86.505190311418687</v>
      </c>
      <c r="H43">
        <v>93.394495412844037</v>
      </c>
      <c r="I43">
        <v>95.238095238095227</v>
      </c>
      <c r="J43">
        <v>85.992217898832692</v>
      </c>
      <c r="K43">
        <v>94.165170556552951</v>
      </c>
      <c r="L43">
        <v>96.969696969696969</v>
      </c>
      <c r="M43">
        <v>86.909090909090907</v>
      </c>
      <c r="N43">
        <v>93.930041152263371</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93.333333333333329</v>
      </c>
      <c r="E44">
        <v>97.435897435897431</v>
      </c>
      <c r="F44">
        <v>100</v>
      </c>
      <c r="G44">
        <v>92</v>
      </c>
      <c r="H44">
        <v>96.36363636363636</v>
      </c>
      <c r="I44">
        <v>100</v>
      </c>
      <c r="J44">
        <v>90.909090909090907</v>
      </c>
      <c r="K44">
        <v>100</v>
      </c>
      <c r="L44">
        <v>100</v>
      </c>
      <c r="M44">
        <v>100</v>
      </c>
      <c r="N44">
        <v>97.435897435897431</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100</v>
      </c>
      <c r="D45">
        <v>100</v>
      </c>
      <c r="E45">
        <v>100</v>
      </c>
      <c r="F45">
        <v>100</v>
      </c>
      <c r="G45">
        <v>100</v>
      </c>
      <c r="H45">
        <v>100</v>
      </c>
      <c r="I45">
        <v>100</v>
      </c>
      <c r="J45">
        <v>100</v>
      </c>
      <c r="K45">
        <v>100</v>
      </c>
      <c r="L45">
        <v>93.75</v>
      </c>
      <c r="M45">
        <v>100</v>
      </c>
      <c r="N45">
        <v>100</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100</v>
      </c>
      <c r="D46">
        <v>84.693877551020407</v>
      </c>
      <c r="E46">
        <v>92.48554913294798</v>
      </c>
      <c r="F46">
        <v>75</v>
      </c>
      <c r="G46">
        <v>96.330275229357795</v>
      </c>
      <c r="H46">
        <v>97.109826589595372</v>
      </c>
      <c r="I46">
        <v>88.888888888888886</v>
      </c>
      <c r="J46">
        <v>92.391304347826093</v>
      </c>
      <c r="K46">
        <v>99.01477832512316</v>
      </c>
      <c r="L46">
        <v>100</v>
      </c>
      <c r="M46">
        <v>91.764705882352942</v>
      </c>
      <c r="N46">
        <v>94.240837696335078</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87.5</v>
      </c>
      <c r="D47">
        <v>83.098591549295776</v>
      </c>
      <c r="E47">
        <v>82.758620689655174</v>
      </c>
      <c r="F47">
        <v>100</v>
      </c>
      <c r="G47">
        <v>75.280898876404493</v>
      </c>
      <c r="H47">
        <v>83.253588516746419</v>
      </c>
      <c r="I47">
        <v>80</v>
      </c>
      <c r="J47">
        <v>85.483870967741936</v>
      </c>
      <c r="K47">
        <v>89.743589743589752</v>
      </c>
      <c r="L47">
        <v>100</v>
      </c>
      <c r="M47">
        <v>88.888888888888886</v>
      </c>
      <c r="N47">
        <v>94.936708860759495</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100</v>
      </c>
      <c r="D48">
        <v>85.60311284046692</v>
      </c>
      <c r="E48">
        <v>67.219917012448136</v>
      </c>
      <c r="F48">
        <v>100</v>
      </c>
      <c r="G48">
        <v>87.832699619771859</v>
      </c>
      <c r="H48">
        <v>63.076923076923073</v>
      </c>
      <c r="I48">
        <v>50</v>
      </c>
      <c r="J48">
        <v>76.666666666666671</v>
      </c>
      <c r="K48">
        <v>54.468085106382979</v>
      </c>
      <c r="L48">
        <v>50</v>
      </c>
      <c r="M48">
        <v>69.377990430622006</v>
      </c>
      <c r="N48">
        <v>46.666666666666664</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c r="D49">
        <v>88.235294117647058</v>
      </c>
      <c r="E49">
        <v>93.84615384615384</v>
      </c>
      <c r="F49">
        <v>100</v>
      </c>
      <c r="G49">
        <v>91.666666666666657</v>
      </c>
      <c r="H49">
        <v>95.161290322580655</v>
      </c>
      <c r="I49">
        <v>100</v>
      </c>
      <c r="J49">
        <v>64.285714285714292</v>
      </c>
      <c r="K49">
        <v>97.959183673469383</v>
      </c>
      <c r="L49">
        <v>66.666666666666657</v>
      </c>
      <c r="M49">
        <v>84.210526315789465</v>
      </c>
      <c r="N49">
        <v>90.476190476190482</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100</v>
      </c>
      <c r="D50">
        <v>83.050847457627114</v>
      </c>
      <c r="E50">
        <v>91.891891891891902</v>
      </c>
      <c r="F50">
        <v>100</v>
      </c>
      <c r="G50">
        <v>81.132075471698116</v>
      </c>
      <c r="H50">
        <v>87.692307692307693</v>
      </c>
      <c r="I50">
        <v>100</v>
      </c>
      <c r="J50">
        <v>77.083333333333343</v>
      </c>
      <c r="K50">
        <v>84.920634920634924</v>
      </c>
      <c r="L50">
        <v>88.888888888888886</v>
      </c>
      <c r="M50">
        <v>82.608695652173907</v>
      </c>
      <c r="N50">
        <v>96.256684491978604</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0</v>
      </c>
      <c r="D51">
        <v>35.294117647058826</v>
      </c>
      <c r="E51">
        <v>79.166666666666657</v>
      </c>
      <c r="F51">
        <v>0</v>
      </c>
      <c r="G51">
        <v>42.857142857142854</v>
      </c>
      <c r="H51">
        <v>88.63636363636364</v>
      </c>
      <c r="I51">
        <v>0</v>
      </c>
      <c r="J51">
        <v>50</v>
      </c>
      <c r="K51">
        <v>91.764705882352942</v>
      </c>
      <c r="L51">
        <v>66.666666666666657</v>
      </c>
      <c r="M51">
        <v>65.625</v>
      </c>
      <c r="N51">
        <v>95.945945945945937</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87.5</v>
      </c>
      <c r="D52">
        <v>84.782608695652172</v>
      </c>
      <c r="E52">
        <v>93.61702127659575</v>
      </c>
      <c r="F52">
        <v>87.5</v>
      </c>
      <c r="G52">
        <v>79.518072289156621</v>
      </c>
      <c r="H52">
        <v>92.774566473988443</v>
      </c>
      <c r="I52">
        <v>84.210526315789465</v>
      </c>
      <c r="J52">
        <v>86.40776699029125</v>
      </c>
      <c r="K52">
        <v>93.65558912386706</v>
      </c>
      <c r="L52">
        <v>88.461538461538453</v>
      </c>
      <c r="M52">
        <v>90.825688073394488</v>
      </c>
      <c r="N52">
        <v>94.025157232704402</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100</v>
      </c>
      <c r="D53">
        <v>91.304347826086953</v>
      </c>
      <c r="E53">
        <v>84.782608695652172</v>
      </c>
      <c r="F53">
        <v>100</v>
      </c>
      <c r="G53">
        <v>70</v>
      </c>
      <c r="H53">
        <v>91.666666666666657</v>
      </c>
      <c r="I53">
        <v>40</v>
      </c>
      <c r="J53">
        <v>85.074626865671647</v>
      </c>
      <c r="K53">
        <v>90.256410256410263</v>
      </c>
      <c r="L53">
        <v>100</v>
      </c>
      <c r="M53">
        <v>86.904761904761912</v>
      </c>
      <c r="N53">
        <v>94.088669950738918</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100</v>
      </c>
      <c r="D54">
        <v>72.38095238095238</v>
      </c>
      <c r="E54">
        <v>84.980237154150188</v>
      </c>
      <c r="F54">
        <v>83.333333333333343</v>
      </c>
      <c r="G54">
        <v>82.692307692307693</v>
      </c>
      <c r="H54">
        <v>93.589743589743591</v>
      </c>
      <c r="I54">
        <v>71.428571428571431</v>
      </c>
      <c r="J54">
        <v>76.923076923076934</v>
      </c>
      <c r="K54">
        <v>90.540540540540533</v>
      </c>
      <c r="L54">
        <v>88.888888888888886</v>
      </c>
      <c r="M54">
        <v>84.693877551020407</v>
      </c>
      <c r="N54">
        <v>92.936802973977692</v>
      </c>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75</v>
      </c>
      <c r="D55">
        <v>75.609756097560975</v>
      </c>
      <c r="E55">
        <v>88.47926267281106</v>
      </c>
      <c r="F55">
        <v>100</v>
      </c>
      <c r="G55">
        <v>84.090909090909093</v>
      </c>
      <c r="H55">
        <v>81.105990783410135</v>
      </c>
      <c r="I55">
        <v>100</v>
      </c>
      <c r="J55">
        <v>87.804878048780495</v>
      </c>
      <c r="K55">
        <v>86.956521739130437</v>
      </c>
      <c r="L55">
        <v>75</v>
      </c>
      <c r="M55">
        <v>87.5</v>
      </c>
      <c r="N55">
        <v>90.990990990990994</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92.857142857142861</v>
      </c>
      <c r="D56">
        <v>89.010989010989007</v>
      </c>
      <c r="E56">
        <v>93.162393162393158</v>
      </c>
      <c r="F56">
        <v>90</v>
      </c>
      <c r="G56">
        <v>78.94736842105263</v>
      </c>
      <c r="H56">
        <v>93.574297188755011</v>
      </c>
      <c r="I56">
        <v>73.68421052631578</v>
      </c>
      <c r="J56">
        <v>81.609195402298852</v>
      </c>
      <c r="K56">
        <v>87.698412698412696</v>
      </c>
      <c r="L56">
        <v>92.857142857142861</v>
      </c>
      <c r="M56">
        <v>81.730769230769226</v>
      </c>
      <c r="N56">
        <v>79.615384615384613</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100</v>
      </c>
      <c r="D57">
        <v>84.037558685446015</v>
      </c>
      <c r="E57">
        <v>84.523809523809518</v>
      </c>
      <c r="F57">
        <v>93.103448275862064</v>
      </c>
      <c r="G57">
        <v>83.333333333333343</v>
      </c>
      <c r="H57">
        <v>83.606557377049185</v>
      </c>
      <c r="I57">
        <v>96.551724137931032</v>
      </c>
      <c r="J57">
        <v>81.920903954802256</v>
      </c>
      <c r="K57">
        <v>81.609195402298852</v>
      </c>
      <c r="L57">
        <v>90.909090909090907</v>
      </c>
      <c r="M57">
        <v>84.239130434782609</v>
      </c>
      <c r="N57">
        <v>90.625</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91.666666666666657</v>
      </c>
      <c r="D58">
        <v>91.818181818181827</v>
      </c>
      <c r="E58">
        <v>87.635574837310187</v>
      </c>
      <c r="F58">
        <v>92.307692307692307</v>
      </c>
      <c r="G58">
        <v>83.78378378378379</v>
      </c>
      <c r="H58">
        <v>88.753056234718827</v>
      </c>
      <c r="I58">
        <v>87.5</v>
      </c>
      <c r="J58">
        <v>90.298507462686572</v>
      </c>
      <c r="K58">
        <v>91.825613079019078</v>
      </c>
      <c r="L58">
        <v>100</v>
      </c>
      <c r="M58">
        <v>89.763779527559052</v>
      </c>
      <c r="N58">
        <v>87.5</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100</v>
      </c>
      <c r="D59">
        <v>92.307692307692307</v>
      </c>
      <c r="E59">
        <v>87.179487179487182</v>
      </c>
      <c r="F59">
        <v>100</v>
      </c>
      <c r="G59">
        <v>86.206896551724128</v>
      </c>
      <c r="H59">
        <v>80.327868852459019</v>
      </c>
      <c r="I59">
        <v>100</v>
      </c>
      <c r="J59">
        <v>74.193548387096769</v>
      </c>
      <c r="K59">
        <v>83.870967741935488</v>
      </c>
      <c r="L59">
        <v>60</v>
      </c>
      <c r="M59">
        <v>95.652173913043484</v>
      </c>
      <c r="N59">
        <v>90.476190476190482</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100</v>
      </c>
      <c r="D60">
        <v>80</v>
      </c>
      <c r="E60">
        <v>84.768211920529808</v>
      </c>
      <c r="F60">
        <v>85.714285714285708</v>
      </c>
      <c r="G60">
        <v>80.851063829787222</v>
      </c>
      <c r="H60">
        <v>82.978723404255319</v>
      </c>
      <c r="I60">
        <v>100</v>
      </c>
      <c r="J60">
        <v>90.566037735849065</v>
      </c>
      <c r="K60">
        <v>90.957446808510639</v>
      </c>
      <c r="L60">
        <v>100</v>
      </c>
      <c r="M60">
        <v>87.654320987654316</v>
      </c>
      <c r="N60">
        <v>90.045248868778287</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85.714285714285708</v>
      </c>
      <c r="D61">
        <v>100</v>
      </c>
      <c r="E61">
        <v>99.159663865546221</v>
      </c>
      <c r="F61">
        <v>50</v>
      </c>
      <c r="G61">
        <v>98</v>
      </c>
      <c r="H61">
        <v>100</v>
      </c>
      <c r="I61">
        <v>100</v>
      </c>
      <c r="J61">
        <v>94.230769230769226</v>
      </c>
      <c r="K61">
        <v>99.009900990099013</v>
      </c>
      <c r="L61">
        <v>100</v>
      </c>
      <c r="M61">
        <v>98.039215686274503</v>
      </c>
      <c r="N61">
        <v>100</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100</v>
      </c>
      <c r="E62">
        <v>98.387096774193552</v>
      </c>
      <c r="F62">
        <v>100</v>
      </c>
      <c r="G62">
        <v>100</v>
      </c>
      <c r="H62">
        <v>98.550724637681171</v>
      </c>
      <c r="I62">
        <v>100</v>
      </c>
      <c r="J62">
        <v>95</v>
      </c>
      <c r="K62">
        <v>96.15384615384616</v>
      </c>
      <c r="L62">
        <v>100</v>
      </c>
      <c r="M62">
        <v>81.818181818181827</v>
      </c>
      <c r="N62">
        <v>85.964912280701753</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95</v>
      </c>
      <c r="E63">
        <v>95.87155963302753</v>
      </c>
      <c r="F63">
        <v>100</v>
      </c>
      <c r="G63">
        <v>99.038461538461547</v>
      </c>
      <c r="H63">
        <v>98.850574712643677</v>
      </c>
      <c r="I63">
        <v>100</v>
      </c>
      <c r="J63">
        <v>94.666666666666671</v>
      </c>
      <c r="K63">
        <v>96.875</v>
      </c>
      <c r="L63">
        <v>100</v>
      </c>
      <c r="M63">
        <v>95.890410958904098</v>
      </c>
      <c r="N63">
        <v>98.930481283422452</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86.842105263157904</v>
      </c>
      <c r="D64">
        <v>83.591331269349851</v>
      </c>
      <c r="E64">
        <v>88.277511961722482</v>
      </c>
      <c r="F64">
        <v>71.428571428571431</v>
      </c>
      <c r="G64">
        <v>81.851179673321241</v>
      </c>
      <c r="H64">
        <v>90.897908979089792</v>
      </c>
      <c r="I64">
        <v>62.068965517241381</v>
      </c>
      <c r="J64">
        <v>54.343807763401109</v>
      </c>
      <c r="K64">
        <v>89.577836411609496</v>
      </c>
      <c r="L64">
        <v>87.878787878787875</v>
      </c>
      <c r="M64">
        <v>86.713286713286706</v>
      </c>
      <c r="N64">
        <v>89.226519337016569</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80</v>
      </c>
      <c r="D65">
        <v>80.701754385964904</v>
      </c>
      <c r="E65">
        <v>76.245210727969351</v>
      </c>
      <c r="F65">
        <v>100</v>
      </c>
      <c r="G65">
        <v>90.721649484536087</v>
      </c>
      <c r="H65">
        <v>84.210526315789465</v>
      </c>
      <c r="I65">
        <v>93.333333333333329</v>
      </c>
      <c r="J65">
        <v>86.956521739130437</v>
      </c>
      <c r="K65">
        <v>85.121107266435985</v>
      </c>
      <c r="L65">
        <v>71.428571428571431</v>
      </c>
      <c r="M65">
        <v>86.734693877551024</v>
      </c>
      <c r="N65">
        <v>88.537549407114625</v>
      </c>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100</v>
      </c>
      <c r="D66">
        <v>88.235294117647058</v>
      </c>
      <c r="E66">
        <v>92.268041237113408</v>
      </c>
      <c r="F66">
        <v>100</v>
      </c>
      <c r="G66">
        <v>95.454545454545453</v>
      </c>
      <c r="H66">
        <v>95.798319327731093</v>
      </c>
      <c r="I66">
        <v>90.909090909090907</v>
      </c>
      <c r="J66">
        <v>89.010989010989007</v>
      </c>
      <c r="K66">
        <v>97.959183673469383</v>
      </c>
      <c r="L66">
        <v>95</v>
      </c>
      <c r="M66">
        <v>84.444444444444443</v>
      </c>
      <c r="N66">
        <v>96.666666666666671</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c r="D67">
        <v>85.714285714285708</v>
      </c>
      <c r="E67">
        <v>77.777777777777786</v>
      </c>
      <c r="F67">
        <v>50</v>
      </c>
      <c r="G67">
        <v>100</v>
      </c>
      <c r="H67">
        <v>77.358490566037744</v>
      </c>
      <c r="I67">
        <v>100</v>
      </c>
      <c r="J67">
        <v>100</v>
      </c>
      <c r="K67">
        <v>80.357142857142861</v>
      </c>
      <c r="L67">
        <v>100</v>
      </c>
      <c r="M67">
        <v>66.666666666666657</v>
      </c>
      <c r="N67">
        <v>91.304347826086953</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71.689497716894977</v>
      </c>
      <c r="E68">
        <v>88.825214899713473</v>
      </c>
      <c r="F68">
        <v>100</v>
      </c>
      <c r="G68">
        <v>80.874316939890718</v>
      </c>
      <c r="H68">
        <v>89.783281733746136</v>
      </c>
      <c r="I68">
        <v>100</v>
      </c>
      <c r="J68">
        <v>77.514792899408278</v>
      </c>
      <c r="K68">
        <v>91.319444444444443</v>
      </c>
      <c r="L68">
        <v>100</v>
      </c>
      <c r="M68">
        <v>73.714285714285708</v>
      </c>
      <c r="N68">
        <v>87.90035587188612</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c r="D69"/>
      <c r="E69"/>
      <c r="F69">
        <v>84.615384615384613</v>
      </c>
      <c r="G69">
        <v>85.826771653543304</v>
      </c>
      <c r="H69">
        <v>85.645933014354071</v>
      </c>
      <c r="I69">
        <v>83.333333333333343</v>
      </c>
      <c r="J69">
        <v>89.928057553956833</v>
      </c>
      <c r="K69">
        <v>90.14778325123153</v>
      </c>
      <c r="L69">
        <v>88.235294117647058</v>
      </c>
      <c r="M69">
        <v>90.598290598290603</v>
      </c>
      <c r="N69">
        <v>85.638297872340431</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80</v>
      </c>
      <c r="D70">
        <v>57.446808510638306</v>
      </c>
      <c r="E70">
        <v>85.60311284046692</v>
      </c>
      <c r="F70">
        <v>100</v>
      </c>
      <c r="G70">
        <v>72.549019607843135</v>
      </c>
      <c r="H70">
        <v>80.09478672985783</v>
      </c>
      <c r="I70">
        <v>100</v>
      </c>
      <c r="J70">
        <v>71.739130434782609</v>
      </c>
      <c r="K70">
        <v>80.753138075313814</v>
      </c>
      <c r="L70">
        <v>83.333333333333343</v>
      </c>
      <c r="M70">
        <v>76.923076923076934</v>
      </c>
      <c r="N70">
        <v>85.253456221198149</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100</v>
      </c>
      <c r="D71">
        <v>78.571428571428569</v>
      </c>
      <c r="E71">
        <v>87.179487179487182</v>
      </c>
      <c r="F71">
        <v>50</v>
      </c>
      <c r="G71">
        <v>84.848484848484844</v>
      </c>
      <c r="H71">
        <v>96.470588235294116</v>
      </c>
      <c r="I71">
        <v>80</v>
      </c>
      <c r="J71">
        <v>92.5</v>
      </c>
      <c r="K71">
        <v>98.71794871794873</v>
      </c>
      <c r="L71">
        <v>80</v>
      </c>
      <c r="M71">
        <v>96.875</v>
      </c>
      <c r="N71">
        <v>98.571428571428584</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80</v>
      </c>
      <c r="D72">
        <v>77.41935483870968</v>
      </c>
      <c r="E72">
        <v>81.651376146788991</v>
      </c>
      <c r="F72">
        <v>100</v>
      </c>
      <c r="G72">
        <v>83.333333333333343</v>
      </c>
      <c r="H72">
        <v>92.805755395683448</v>
      </c>
      <c r="I72">
        <v>100</v>
      </c>
      <c r="J72">
        <v>95.652173913043484</v>
      </c>
      <c r="K72">
        <v>87.850467289719631</v>
      </c>
      <c r="L72">
        <v>100</v>
      </c>
      <c r="M72">
        <v>81.481481481481481</v>
      </c>
      <c r="N72">
        <v>92.233009708737868</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100</v>
      </c>
      <c r="D73">
        <v>87.755102040816325</v>
      </c>
      <c r="E73">
        <v>82.629107981220656</v>
      </c>
      <c r="F73">
        <v>90.909090909090907</v>
      </c>
      <c r="G73">
        <v>76.923076923076934</v>
      </c>
      <c r="H73">
        <v>81.4070351758794</v>
      </c>
      <c r="I73">
        <v>88.235294117647058</v>
      </c>
      <c r="J73">
        <v>94.117647058823522</v>
      </c>
      <c r="K73">
        <v>92.2279792746114</v>
      </c>
      <c r="L73">
        <v>100</v>
      </c>
      <c r="M73">
        <v>82.089552238805979</v>
      </c>
      <c r="N73">
        <v>91.219512195121951</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100</v>
      </c>
      <c r="D74">
        <v>83.333333333333343</v>
      </c>
      <c r="E74">
        <v>85.365853658536579</v>
      </c>
      <c r="F74">
        <v>100</v>
      </c>
      <c r="G74">
        <v>84.745762711864401</v>
      </c>
      <c r="H74">
        <v>92.391304347826093</v>
      </c>
      <c r="I74">
        <v>100</v>
      </c>
      <c r="J74">
        <v>85.483870967741936</v>
      </c>
      <c r="K74">
        <v>94.117647058823522</v>
      </c>
      <c r="L74">
        <v>100</v>
      </c>
      <c r="M74">
        <v>88.135593220338976</v>
      </c>
      <c r="N74">
        <v>88.63636363636364</v>
      </c>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83.333333333333343</v>
      </c>
      <c r="D75">
        <v>85.585585585585591</v>
      </c>
      <c r="E75">
        <v>88.571428571428569</v>
      </c>
      <c r="F75">
        <v>93.103448275862064</v>
      </c>
      <c r="G75">
        <v>87.5</v>
      </c>
      <c r="H75">
        <v>90.909090909090907</v>
      </c>
      <c r="I75">
        <v>88.888888888888886</v>
      </c>
      <c r="J75">
        <v>92</v>
      </c>
      <c r="K75">
        <v>84.415584415584405</v>
      </c>
      <c r="L75">
        <v>93.75</v>
      </c>
      <c r="M75">
        <v>89.600000000000009</v>
      </c>
      <c r="N75">
        <v>89.423076923076934</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91.666666666666657</v>
      </c>
      <c r="D76">
        <v>86.486486486486484</v>
      </c>
      <c r="E76">
        <v>85.714285714285708</v>
      </c>
      <c r="F76">
        <v>96</v>
      </c>
      <c r="G76">
        <v>86.666666666666671</v>
      </c>
      <c r="H76">
        <v>88.971962616822424</v>
      </c>
      <c r="I76">
        <v>92.307692307692307</v>
      </c>
      <c r="J76">
        <v>82.329317269076313</v>
      </c>
      <c r="K76">
        <v>87.027027027027032</v>
      </c>
      <c r="L76">
        <v>85.714285714285708</v>
      </c>
      <c r="M76">
        <v>84.848484848484844</v>
      </c>
      <c r="N76">
        <v>88.791593695271459</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73.333333333333329</v>
      </c>
      <c r="D77">
        <v>89.830508474576277</v>
      </c>
      <c r="E77">
        <v>90.566037735849065</v>
      </c>
      <c r="F77">
        <v>84.615384615384613</v>
      </c>
      <c r="G77">
        <v>85.294117647058826</v>
      </c>
      <c r="H77">
        <v>93.220338983050837</v>
      </c>
      <c r="I77">
        <v>90</v>
      </c>
      <c r="J77">
        <v>80.851063829787222</v>
      </c>
      <c r="K77">
        <v>91.19496855345912</v>
      </c>
      <c r="L77">
        <v>83.333333333333343</v>
      </c>
      <c r="M77">
        <v>87.301587301587304</v>
      </c>
      <c r="N77">
        <v>93.023255813953483</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100</v>
      </c>
      <c r="D78">
        <v>96.296296296296291</v>
      </c>
      <c r="E78">
        <v>96.341463414634148</v>
      </c>
      <c r="F78">
        <v>90</v>
      </c>
      <c r="G78">
        <v>87.037037037037038</v>
      </c>
      <c r="H78">
        <v>94.581280788177338</v>
      </c>
      <c r="I78">
        <v>77.777777777777786</v>
      </c>
      <c r="J78">
        <v>91.891891891891902</v>
      </c>
      <c r="K78">
        <v>93.939393939393938</v>
      </c>
      <c r="L78">
        <v>87.5</v>
      </c>
      <c r="M78">
        <v>82.051282051282044</v>
      </c>
      <c r="N78">
        <v>78.698224852071007</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88.235294117647058</v>
      </c>
      <c r="D79">
        <v>86.178861788617894</v>
      </c>
      <c r="E79">
        <v>87.037037037037038</v>
      </c>
      <c r="F79">
        <v>91.17647058823529</v>
      </c>
      <c r="G79">
        <v>89.622641509433961</v>
      </c>
      <c r="H79">
        <v>83.962264150943398</v>
      </c>
      <c r="I79">
        <v>76.19047619047619</v>
      </c>
      <c r="J79">
        <v>85.714285714285708</v>
      </c>
      <c r="K79">
        <v>88.571428571428569</v>
      </c>
      <c r="L79">
        <v>96.15384615384616</v>
      </c>
      <c r="M79">
        <v>82.706766917293223</v>
      </c>
      <c r="N79">
        <v>91.977077363896854</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95.762711864406782</v>
      </c>
      <c r="E80">
        <v>96.978851963746223</v>
      </c>
      <c r="F80">
        <v>100</v>
      </c>
      <c r="G80">
        <v>99.519230769230774</v>
      </c>
      <c r="H80">
        <v>98.571428571428584</v>
      </c>
      <c r="I80">
        <v>100</v>
      </c>
      <c r="J80">
        <v>97.448979591836732</v>
      </c>
      <c r="K80">
        <v>98.113207547169807</v>
      </c>
      <c r="L80">
        <v>100</v>
      </c>
      <c r="M80">
        <v>99.465240641711233</v>
      </c>
      <c r="N80">
        <v>99.003322259136212</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90.909090909090907</v>
      </c>
      <c r="D81">
        <v>83.050847457627114</v>
      </c>
      <c r="E81">
        <v>91.869918699186996</v>
      </c>
      <c r="F81">
        <v>100</v>
      </c>
      <c r="G81">
        <v>88.059701492537314</v>
      </c>
      <c r="H81">
        <v>95.890410958904098</v>
      </c>
      <c r="I81">
        <v>100</v>
      </c>
      <c r="J81">
        <v>95.161290322580655</v>
      </c>
      <c r="K81">
        <v>94.399999999999991</v>
      </c>
      <c r="L81">
        <v>100</v>
      </c>
      <c r="M81">
        <v>94.915254237288138</v>
      </c>
      <c r="N81">
        <v>95.744680851063833</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41.666666666666671</v>
      </c>
      <c r="D82">
        <v>60</v>
      </c>
      <c r="E82">
        <v>67.615658362989322</v>
      </c>
      <c r="F82">
        <v>60</v>
      </c>
      <c r="G82">
        <v>69.7841726618705</v>
      </c>
      <c r="H82">
        <v>72.659176029962552</v>
      </c>
      <c r="I82">
        <v>76.923076923076934</v>
      </c>
      <c r="J82">
        <v>81.481481481481481</v>
      </c>
      <c r="K82">
        <v>74.528301886792448</v>
      </c>
      <c r="L82">
        <v>60</v>
      </c>
      <c r="M82">
        <v>82.142857142857139</v>
      </c>
      <c r="N82">
        <v>74.903474903474901</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100</v>
      </c>
      <c r="D83">
        <v>86.956521739130437</v>
      </c>
      <c r="E83">
        <v>72.5</v>
      </c>
      <c r="F83">
        <v>62.5</v>
      </c>
      <c r="G83">
        <v>70.212765957446805</v>
      </c>
      <c r="H83">
        <v>81.147540983606561</v>
      </c>
      <c r="I83">
        <v>80</v>
      </c>
      <c r="J83">
        <v>73.68421052631578</v>
      </c>
      <c r="K83">
        <v>91.279069767441854</v>
      </c>
      <c r="L83">
        <v>100</v>
      </c>
      <c r="M83">
        <v>88.888888888888886</v>
      </c>
      <c r="N83">
        <v>88.421052631578945</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50</v>
      </c>
      <c r="D84">
        <v>61.904761904761905</v>
      </c>
      <c r="E84">
        <v>70.523415977961434</v>
      </c>
      <c r="F84">
        <v>66.666666666666657</v>
      </c>
      <c r="G84">
        <v>78.571428571428569</v>
      </c>
      <c r="H84">
        <v>86.461538461538453</v>
      </c>
      <c r="I84">
        <v>71.428571428571431</v>
      </c>
      <c r="J84">
        <v>75.824175824175825</v>
      </c>
      <c r="K84">
        <v>86.348122866894201</v>
      </c>
      <c r="L84">
        <v>80</v>
      </c>
      <c r="M84">
        <v>85.714285714285708</v>
      </c>
      <c r="N84">
        <v>89.610389610389603</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66.666666666666657</v>
      </c>
      <c r="D85">
        <v>80.412371134020617</v>
      </c>
      <c r="E85">
        <v>77.914110429447859</v>
      </c>
      <c r="F85">
        <v>76.19047619047619</v>
      </c>
      <c r="G85">
        <v>73.80952380952381</v>
      </c>
      <c r="H85">
        <v>86.754966887417211</v>
      </c>
      <c r="I85">
        <v>55.000000000000007</v>
      </c>
      <c r="J85">
        <v>75.862068965517238</v>
      </c>
      <c r="K85">
        <v>83.766233766233768</v>
      </c>
      <c r="L85">
        <v>71.428571428571431</v>
      </c>
      <c r="M85">
        <v>73.40425531914893</v>
      </c>
      <c r="N85">
        <v>85.333333333333343</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94.117647058823522</v>
      </c>
      <c r="D86">
        <v>93.401015228426402</v>
      </c>
      <c r="E86">
        <v>93.841642228739005</v>
      </c>
      <c r="F86">
        <v>97.058823529411768</v>
      </c>
      <c r="G86">
        <v>86.069651741293526</v>
      </c>
      <c r="H86">
        <v>94.019933554817285</v>
      </c>
      <c r="I86">
        <v>94.594594594594597</v>
      </c>
      <c r="J86">
        <v>87.7659574468085</v>
      </c>
      <c r="K86">
        <v>93.235294117647058</v>
      </c>
      <c r="L86">
        <v>89.285714285714292</v>
      </c>
      <c r="M86">
        <v>87.951807228915655</v>
      </c>
      <c r="N86">
        <v>93.548387096774192</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100</v>
      </c>
      <c r="D87">
        <v>90.740740740740748</v>
      </c>
      <c r="E87">
        <v>88.288288288288285</v>
      </c>
      <c r="F87">
        <v>100</v>
      </c>
      <c r="G87">
        <v>96.296296296296291</v>
      </c>
      <c r="H87">
        <v>94.117647058823522</v>
      </c>
      <c r="I87">
        <v>100</v>
      </c>
      <c r="J87">
        <v>96.078431372549019</v>
      </c>
      <c r="K87">
        <v>96.062992125984252</v>
      </c>
      <c r="L87">
        <v>71.428571428571431</v>
      </c>
      <c r="M87">
        <v>91.489361702127653</v>
      </c>
      <c r="N87">
        <v>90.510948905109487</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88.235294117647058</v>
      </c>
      <c r="D88">
        <v>74.452554744525543</v>
      </c>
      <c r="E88">
        <v>77.295918367346943</v>
      </c>
      <c r="F88">
        <v>100</v>
      </c>
      <c r="G88">
        <v>74.81481481481481</v>
      </c>
      <c r="H88">
        <v>79.896907216494853</v>
      </c>
      <c r="I88">
        <v>81.818181818181827</v>
      </c>
      <c r="J88">
        <v>71.532846715328475</v>
      </c>
      <c r="K88">
        <v>80.047505938242281</v>
      </c>
      <c r="L88">
        <v>87.5</v>
      </c>
      <c r="M88">
        <v>71.755725190839698</v>
      </c>
      <c r="N88">
        <v>73.91304347826086</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100</v>
      </c>
      <c r="D89">
        <v>86.36363636363636</v>
      </c>
      <c r="E89">
        <v>97.916666666666657</v>
      </c>
      <c r="F89">
        <v>100</v>
      </c>
      <c r="G89">
        <v>70.588235294117652</v>
      </c>
      <c r="H89">
        <v>91.111111111111114</v>
      </c>
      <c r="I89">
        <v>100</v>
      </c>
      <c r="J89">
        <v>70.967741935483872</v>
      </c>
      <c r="K89">
        <v>90.196078431372555</v>
      </c>
      <c r="L89"/>
      <c r="M89">
        <v>80</v>
      </c>
      <c r="N89">
        <v>81.081081081081081</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100</v>
      </c>
      <c r="D90">
        <v>80.769230769230774</v>
      </c>
      <c r="E90">
        <v>96.666666666666671</v>
      </c>
      <c r="F90">
        <v>100</v>
      </c>
      <c r="G90">
        <v>84.615384615384613</v>
      </c>
      <c r="H90">
        <v>98.4375</v>
      </c>
      <c r="I90">
        <v>100</v>
      </c>
      <c r="J90">
        <v>83.78378378378379</v>
      </c>
      <c r="K90">
        <v>92.156862745098039</v>
      </c>
      <c r="L90">
        <v>100</v>
      </c>
      <c r="M90">
        <v>90.476190476190482</v>
      </c>
      <c r="N90">
        <v>96.330275229357795</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100</v>
      </c>
      <c r="D91">
        <v>84.705882352941174</v>
      </c>
      <c r="E91">
        <v>87.908496732026137</v>
      </c>
      <c r="F91">
        <v>71.428571428571431</v>
      </c>
      <c r="G91">
        <v>84.905660377358487</v>
      </c>
      <c r="H91">
        <v>81.456953642384107</v>
      </c>
      <c r="I91">
        <v>100</v>
      </c>
      <c r="J91">
        <v>82.828282828282823</v>
      </c>
      <c r="K91">
        <v>82.727272727272734</v>
      </c>
      <c r="L91">
        <v>100</v>
      </c>
      <c r="M91">
        <v>89.215686274509807</v>
      </c>
      <c r="N91">
        <v>87.5</v>
      </c>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100</v>
      </c>
      <c r="D92">
        <v>94.262295081967224</v>
      </c>
      <c r="E92">
        <v>93.470790378006868</v>
      </c>
      <c r="F92">
        <v>100</v>
      </c>
      <c r="G92">
        <v>69.791666666666657</v>
      </c>
      <c r="H92">
        <v>77.528089887640448</v>
      </c>
      <c r="I92">
        <v>57.142857142857139</v>
      </c>
      <c r="J92">
        <v>68.518518518518519</v>
      </c>
      <c r="K92">
        <v>84.333333333333343</v>
      </c>
      <c r="L92">
        <v>75</v>
      </c>
      <c r="M92">
        <v>70.399999999999991</v>
      </c>
      <c r="N92">
        <v>85.882352941176464</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100</v>
      </c>
      <c r="D93">
        <v>73.529411764705884</v>
      </c>
      <c r="E93">
        <v>70.695970695970701</v>
      </c>
      <c r="F93">
        <v>100</v>
      </c>
      <c r="G93">
        <v>80.459770114942529</v>
      </c>
      <c r="H93">
        <v>88.356164383561648</v>
      </c>
      <c r="I93">
        <v>100</v>
      </c>
      <c r="J93">
        <v>82.35294117647058</v>
      </c>
      <c r="K93">
        <v>78.90625</v>
      </c>
      <c r="L93">
        <v>100</v>
      </c>
      <c r="M93">
        <v>76.923076923076934</v>
      </c>
      <c r="N93">
        <v>73.770491803278688</v>
      </c>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90.476190476190482</v>
      </c>
      <c r="E94">
        <v>97.122302158273371</v>
      </c>
      <c r="F94">
        <v>100</v>
      </c>
      <c r="G94">
        <v>87.5</v>
      </c>
      <c r="H94">
        <v>96.969696969696969</v>
      </c>
      <c r="I94">
        <v>100</v>
      </c>
      <c r="J94">
        <v>80</v>
      </c>
      <c r="K94">
        <v>92.36641221374046</v>
      </c>
      <c r="L94">
        <v>100</v>
      </c>
      <c r="M94">
        <v>87.5</v>
      </c>
      <c r="N94">
        <v>90.598290598290603</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85.294117647058826</v>
      </c>
      <c r="E95">
        <v>87.323943661971825</v>
      </c>
      <c r="F95">
        <v>100</v>
      </c>
      <c r="G95">
        <v>84</v>
      </c>
      <c r="H95">
        <v>90.816326530612244</v>
      </c>
      <c r="I95">
        <v>100</v>
      </c>
      <c r="J95">
        <v>79.411764705882348</v>
      </c>
      <c r="K95">
        <v>78.94736842105263</v>
      </c>
      <c r="L95">
        <v>100</v>
      </c>
      <c r="M95">
        <v>94.444444444444443</v>
      </c>
      <c r="N95">
        <v>92.5</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88.888888888888886</v>
      </c>
      <c r="D96">
        <v>61.53846153846154</v>
      </c>
      <c r="E96">
        <v>74.796747967479675</v>
      </c>
      <c r="F96">
        <v>87.5</v>
      </c>
      <c r="G96">
        <v>85</v>
      </c>
      <c r="H96">
        <v>88.888888888888886</v>
      </c>
      <c r="I96">
        <v>85.714285714285708</v>
      </c>
      <c r="J96">
        <v>75</v>
      </c>
      <c r="K96">
        <v>91.17647058823529</v>
      </c>
      <c r="L96">
        <v>100</v>
      </c>
      <c r="M96">
        <v>73.68421052631578</v>
      </c>
      <c r="N96">
        <v>89.908256880733944</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100</v>
      </c>
      <c r="E97">
        <v>98.473282442748086</v>
      </c>
      <c r="F97">
        <v>100</v>
      </c>
      <c r="G97">
        <v>97.058823529411768</v>
      </c>
      <c r="H97">
        <v>100</v>
      </c>
      <c r="I97">
        <v>100</v>
      </c>
      <c r="J97">
        <v>100</v>
      </c>
      <c r="K97">
        <v>100</v>
      </c>
      <c r="L97">
        <v>100</v>
      </c>
      <c r="M97">
        <v>96.774193548387103</v>
      </c>
      <c r="N97">
        <v>100</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72.727272727272734</v>
      </c>
      <c r="D98">
        <v>60.526315789473685</v>
      </c>
      <c r="E98">
        <v>80</v>
      </c>
      <c r="F98">
        <v>77.777777777777786</v>
      </c>
      <c r="G98">
        <v>51.020408163265309</v>
      </c>
      <c r="H98">
        <v>85.964912280701753</v>
      </c>
      <c r="I98">
        <v>100</v>
      </c>
      <c r="J98">
        <v>68.539325842696627</v>
      </c>
      <c r="K98">
        <v>85.714285714285708</v>
      </c>
      <c r="L98">
        <v>90.909090909090907</v>
      </c>
      <c r="M98">
        <v>76.543209876543202</v>
      </c>
      <c r="N98">
        <v>85.483870967741936</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75</v>
      </c>
      <c r="D99">
        <v>91.111111111111114</v>
      </c>
      <c r="E99">
        <v>93.055555555555557</v>
      </c>
      <c r="F99">
        <v>100</v>
      </c>
      <c r="G99">
        <v>84.848484848484844</v>
      </c>
      <c r="H99">
        <v>94.573643410852711</v>
      </c>
      <c r="I99">
        <v>100</v>
      </c>
      <c r="J99">
        <v>92.307692307692307</v>
      </c>
      <c r="K99">
        <v>95.934959349593498</v>
      </c>
      <c r="L99">
        <v>100</v>
      </c>
      <c r="M99">
        <v>85.9375</v>
      </c>
      <c r="N99">
        <v>94.545454545454547</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100</v>
      </c>
      <c r="D100">
        <v>90.243902439024396</v>
      </c>
      <c r="E100">
        <v>91.34615384615384</v>
      </c>
      <c r="F100">
        <v>100</v>
      </c>
      <c r="G100">
        <v>96.610169491525426</v>
      </c>
      <c r="H100">
        <v>92</v>
      </c>
      <c r="I100">
        <v>100</v>
      </c>
      <c r="J100">
        <v>89.0625</v>
      </c>
      <c r="K100">
        <v>89.65517241379311</v>
      </c>
      <c r="L100">
        <v>100</v>
      </c>
      <c r="M100">
        <v>91.780821917808225</v>
      </c>
      <c r="N100">
        <v>94.318181818181827</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50</v>
      </c>
      <c r="D101">
        <v>95.652173913043484</v>
      </c>
      <c r="E101">
        <v>100</v>
      </c>
      <c r="F101">
        <v>100</v>
      </c>
      <c r="G101">
        <v>87.878787878787875</v>
      </c>
      <c r="H101">
        <v>97.560975609756099</v>
      </c>
      <c r="I101">
        <v>85.714285714285708</v>
      </c>
      <c r="J101">
        <v>91.666666666666657</v>
      </c>
      <c r="K101">
        <v>97.435897435897431</v>
      </c>
      <c r="L101">
        <v>80</v>
      </c>
      <c r="M101">
        <v>100</v>
      </c>
      <c r="N101">
        <v>100</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95</v>
      </c>
      <c r="E102">
        <v>92.156862745098039</v>
      </c>
      <c r="F102">
        <v>100</v>
      </c>
      <c r="G102">
        <v>92</v>
      </c>
      <c r="H102">
        <v>91.489361702127653</v>
      </c>
      <c r="I102">
        <v>100</v>
      </c>
      <c r="J102">
        <v>90.909090909090907</v>
      </c>
      <c r="K102">
        <v>88.372093023255815</v>
      </c>
      <c r="L102">
        <v>100</v>
      </c>
      <c r="M102">
        <v>97.560975609756099</v>
      </c>
      <c r="N102">
        <v>84.112149532710276</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85.714285714285708</v>
      </c>
      <c r="E103">
        <v>79.816513761467888</v>
      </c>
      <c r="F103">
        <v>100</v>
      </c>
      <c r="G103">
        <v>73.333333333333329</v>
      </c>
      <c r="H103">
        <v>80.172413793103445</v>
      </c>
      <c r="I103">
        <v>100</v>
      </c>
      <c r="J103">
        <v>79.310344827586206</v>
      </c>
      <c r="K103">
        <v>88.775510204081627</v>
      </c>
      <c r="L103">
        <v>100</v>
      </c>
      <c r="M103">
        <v>80</v>
      </c>
      <c r="N103">
        <v>94.680851063829792</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c r="D104">
        <v>85.714285714285708</v>
      </c>
      <c r="E104">
        <v>86.956521739130437</v>
      </c>
      <c r="F104">
        <v>100</v>
      </c>
      <c r="G104">
        <v>85.714285714285708</v>
      </c>
      <c r="H104">
        <v>84.466019417475721</v>
      </c>
      <c r="I104">
        <v>100</v>
      </c>
      <c r="J104">
        <v>93.548387096774192</v>
      </c>
      <c r="K104">
        <v>89.565217391304358</v>
      </c>
      <c r="L104">
        <v>100</v>
      </c>
      <c r="M104">
        <v>78.571428571428569</v>
      </c>
      <c r="N104">
        <v>81.012658227848107</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c r="D105">
        <v>87.5</v>
      </c>
      <c r="E105">
        <v>93.333333333333329</v>
      </c>
      <c r="F105">
        <v>100</v>
      </c>
      <c r="G105">
        <v>100</v>
      </c>
      <c r="H105">
        <v>89.285714285714292</v>
      </c>
      <c r="I105">
        <v>100</v>
      </c>
      <c r="J105">
        <v>85.714285714285708</v>
      </c>
      <c r="K105">
        <v>96.15384615384616</v>
      </c>
      <c r="L105"/>
      <c r="M105">
        <v>100</v>
      </c>
      <c r="N105">
        <v>100</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71.428571428571431</v>
      </c>
      <c r="D106">
        <v>94.73684210526315</v>
      </c>
      <c r="E106">
        <v>93.984962406015043</v>
      </c>
      <c r="F106">
        <v>100</v>
      </c>
      <c r="G106">
        <v>97.368421052631575</v>
      </c>
      <c r="H106">
        <v>96.710526315789465</v>
      </c>
      <c r="I106">
        <v>100</v>
      </c>
      <c r="J106">
        <v>93.103448275862064</v>
      </c>
      <c r="K106">
        <v>94.615384615384613</v>
      </c>
      <c r="L106">
        <v>83.333333333333343</v>
      </c>
      <c r="M106">
        <v>100</v>
      </c>
      <c r="N106">
        <v>94.214876033057848</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88.63636363636364</v>
      </c>
      <c r="E107">
        <v>80.645161290322577</v>
      </c>
      <c r="F107">
        <v>100</v>
      </c>
      <c r="G107">
        <v>92.857142857142861</v>
      </c>
      <c r="H107">
        <v>75</v>
      </c>
      <c r="I107">
        <v>100</v>
      </c>
      <c r="J107">
        <v>91.666666666666657</v>
      </c>
      <c r="K107">
        <v>86.567164179104466</v>
      </c>
      <c r="L107">
        <v>100</v>
      </c>
      <c r="M107">
        <v>87.804878048780495</v>
      </c>
      <c r="N107">
        <v>83.870967741935488</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93.877551020408163</v>
      </c>
      <c r="E108">
        <v>88.416988416988417</v>
      </c>
      <c r="F108">
        <v>100</v>
      </c>
      <c r="G108">
        <v>89.247311827956992</v>
      </c>
      <c r="H108">
        <v>88.215488215488207</v>
      </c>
      <c r="I108">
        <v>100</v>
      </c>
      <c r="J108">
        <v>86.440677966101703</v>
      </c>
      <c r="K108">
        <v>85.766423357664237</v>
      </c>
      <c r="L108">
        <v>100</v>
      </c>
      <c r="M108">
        <v>85.714285714285708</v>
      </c>
      <c r="N108">
        <v>84.192439862542955</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85.714285714285708</v>
      </c>
      <c r="D109">
        <v>64.772727272727266</v>
      </c>
      <c r="E109">
        <v>76.756756756756758</v>
      </c>
      <c r="F109">
        <v>83.333333333333343</v>
      </c>
      <c r="G109">
        <v>77.083333333333343</v>
      </c>
      <c r="H109">
        <v>83.703703703703695</v>
      </c>
      <c r="I109">
        <v>80</v>
      </c>
      <c r="J109">
        <v>81.818181818181827</v>
      </c>
      <c r="K109">
        <v>93.530997304582215</v>
      </c>
      <c r="L109">
        <v>85.714285714285708</v>
      </c>
      <c r="M109">
        <v>81.111111111111114</v>
      </c>
      <c r="N109">
        <v>91.891891891891902</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83.333333333333343</v>
      </c>
      <c r="D110">
        <v>76.351351351351354</v>
      </c>
      <c r="E110">
        <v>82.911392405063282</v>
      </c>
      <c r="F110">
        <v>100</v>
      </c>
      <c r="G110">
        <v>80.120481927710841</v>
      </c>
      <c r="H110">
        <v>90.728476821192046</v>
      </c>
      <c r="I110">
        <v>100</v>
      </c>
      <c r="J110">
        <v>86</v>
      </c>
      <c r="K110">
        <v>80.588235294117652</v>
      </c>
      <c r="L110">
        <v>100</v>
      </c>
      <c r="M110">
        <v>70.629370629370626</v>
      </c>
      <c r="N110">
        <v>78.527607361963192</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100</v>
      </c>
      <c r="D111">
        <v>78.378378378378372</v>
      </c>
      <c r="E111">
        <v>72.916666666666657</v>
      </c>
      <c r="F111">
        <v>57.142857142857139</v>
      </c>
      <c r="G111">
        <v>55.555555555555557</v>
      </c>
      <c r="H111">
        <v>65.454545454545453</v>
      </c>
      <c r="I111">
        <v>66.666666666666657</v>
      </c>
      <c r="J111">
        <v>70.833333333333343</v>
      </c>
      <c r="K111">
        <v>56.521739130434781</v>
      </c>
      <c r="L111">
        <v>100</v>
      </c>
      <c r="M111">
        <v>92.857142857142861</v>
      </c>
      <c r="N111">
        <v>86.666666666666671</v>
      </c>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93.650793650793645</v>
      </c>
      <c r="E112">
        <v>92.890995260663516</v>
      </c>
      <c r="F112">
        <v>100</v>
      </c>
      <c r="G112">
        <v>92.546583850931668</v>
      </c>
      <c r="H112">
        <v>92.820512820512818</v>
      </c>
      <c r="I112">
        <v>100</v>
      </c>
      <c r="J112">
        <v>90.647482014388487</v>
      </c>
      <c r="K112">
        <v>88.050314465408803</v>
      </c>
      <c r="L112">
        <v>100</v>
      </c>
      <c r="M112">
        <v>95.833333333333343</v>
      </c>
      <c r="N112">
        <v>90.322580645161281</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50</v>
      </c>
      <c r="D113">
        <v>50</v>
      </c>
      <c r="E113">
        <v>69.680851063829792</v>
      </c>
      <c r="F113">
        <v>37.5</v>
      </c>
      <c r="G113">
        <v>47.826086956521742</v>
      </c>
      <c r="H113">
        <v>77.604166666666657</v>
      </c>
      <c r="I113">
        <v>80</v>
      </c>
      <c r="J113">
        <v>70.422535211267601</v>
      </c>
      <c r="K113">
        <v>74.522292993630572</v>
      </c>
      <c r="L113">
        <v>53.846153846153847</v>
      </c>
      <c r="M113">
        <v>75.806451612903231</v>
      </c>
      <c r="N113">
        <v>81.012658227848107</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72.173913043478265</v>
      </c>
      <c r="E114">
        <v>84.674329501915707</v>
      </c>
      <c r="F114">
        <v>100</v>
      </c>
      <c r="G114">
        <v>79.310344827586206</v>
      </c>
      <c r="H114">
        <v>82.882882882882882</v>
      </c>
      <c r="I114">
        <v>100</v>
      </c>
      <c r="J114">
        <v>89.86486486486487</v>
      </c>
      <c r="K114">
        <v>88</v>
      </c>
      <c r="L114">
        <v>100</v>
      </c>
      <c r="M114">
        <v>93.103448275862064</v>
      </c>
      <c r="N114">
        <v>91.162790697674424</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100</v>
      </c>
      <c r="D115">
        <v>88.888888888888886</v>
      </c>
      <c r="E115">
        <v>97.435897435897431</v>
      </c>
      <c r="F115">
        <v>83.333333333333343</v>
      </c>
      <c r="G115">
        <v>100</v>
      </c>
      <c r="H115">
        <v>100</v>
      </c>
      <c r="I115">
        <v>60</v>
      </c>
      <c r="J115">
        <v>93.75</v>
      </c>
      <c r="K115">
        <v>96.15384615384616</v>
      </c>
      <c r="L115">
        <v>66.666666666666657</v>
      </c>
      <c r="M115">
        <v>71.428571428571431</v>
      </c>
      <c r="N115">
        <v>92.156862745098039</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75</v>
      </c>
      <c r="D116">
        <v>80.733944954128447</v>
      </c>
      <c r="E116">
        <v>82.213438735177874</v>
      </c>
      <c r="F116">
        <v>75</v>
      </c>
      <c r="G116">
        <v>76.296296296296291</v>
      </c>
      <c r="H116">
        <v>81.308411214953267</v>
      </c>
      <c r="I116">
        <v>100</v>
      </c>
      <c r="J116">
        <v>88.297872340425528</v>
      </c>
      <c r="K116">
        <v>92.096219931271477</v>
      </c>
      <c r="L116">
        <v>100</v>
      </c>
      <c r="M116">
        <v>84.536082474226802</v>
      </c>
      <c r="N116">
        <v>85.714285714285708</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100</v>
      </c>
      <c r="D117">
        <v>87.179487179487182</v>
      </c>
      <c r="E117">
        <v>77.027027027027032</v>
      </c>
      <c r="F117">
        <v>100</v>
      </c>
      <c r="G117">
        <v>80.645161290322577</v>
      </c>
      <c r="H117">
        <v>91.25</v>
      </c>
      <c r="I117">
        <v>75</v>
      </c>
      <c r="J117">
        <v>28.125</v>
      </c>
      <c r="K117">
        <v>43.448275862068961</v>
      </c>
      <c r="L117">
        <v>60</v>
      </c>
      <c r="M117">
        <v>65.384615384615387</v>
      </c>
      <c r="N117">
        <v>70.303030303030297</v>
      </c>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100</v>
      </c>
      <c r="E118">
        <v>100</v>
      </c>
      <c r="F118">
        <v>100</v>
      </c>
      <c r="G118">
        <v>100</v>
      </c>
      <c r="H118">
        <v>100</v>
      </c>
      <c r="I118">
        <v>100</v>
      </c>
      <c r="J118">
        <v>100</v>
      </c>
      <c r="K118">
        <v>100</v>
      </c>
      <c r="L118">
        <v>100</v>
      </c>
      <c r="M118">
        <v>100</v>
      </c>
      <c r="N118">
        <v>100</v>
      </c>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100</v>
      </c>
      <c r="D119">
        <v>87.272727272727266</v>
      </c>
      <c r="E119">
        <v>88.888888888888886</v>
      </c>
      <c r="F119"/>
      <c r="G119">
        <v>95.555555555555557</v>
      </c>
      <c r="H119">
        <v>97.058823529411768</v>
      </c>
      <c r="I119">
        <v>100</v>
      </c>
      <c r="J119">
        <v>100</v>
      </c>
      <c r="K119">
        <v>100</v>
      </c>
      <c r="L119">
        <v>80</v>
      </c>
      <c r="M119">
        <v>93.103448275862064</v>
      </c>
      <c r="N119">
        <v>93.055555555555557</v>
      </c>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100</v>
      </c>
      <c r="D120">
        <v>75</v>
      </c>
      <c r="E120">
        <v>90.566037735849065</v>
      </c>
      <c r="F120">
        <v>100</v>
      </c>
      <c r="G120">
        <v>76.923076923076934</v>
      </c>
      <c r="H120">
        <v>84.033613445378151</v>
      </c>
      <c r="I120">
        <v>100</v>
      </c>
      <c r="J120">
        <v>81.818181818181827</v>
      </c>
      <c r="K120">
        <v>84.210526315789465</v>
      </c>
      <c r="L120">
        <v>50</v>
      </c>
      <c r="M120">
        <v>100</v>
      </c>
      <c r="N120">
        <v>88.505747126436788</v>
      </c>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80</v>
      </c>
      <c r="D121">
        <v>82.417582417582409</v>
      </c>
      <c r="E121">
        <v>97.741935483870961</v>
      </c>
      <c r="F121">
        <v>100</v>
      </c>
      <c r="G121">
        <v>97.9381443298969</v>
      </c>
      <c r="H121">
        <v>96.739130434782609</v>
      </c>
      <c r="I121">
        <v>100</v>
      </c>
      <c r="J121">
        <v>93.069306930693074</v>
      </c>
      <c r="K121">
        <v>96.996996996996998</v>
      </c>
      <c r="L121">
        <v>100</v>
      </c>
      <c r="M121">
        <v>93.61702127659575</v>
      </c>
      <c r="N121">
        <v>94.894894894894904</v>
      </c>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89.473684210526315</v>
      </c>
      <c r="D122">
        <v>71.942446043165461</v>
      </c>
      <c r="E122">
        <v>64.620938628158839</v>
      </c>
      <c r="F122">
        <v>80</v>
      </c>
      <c r="G122">
        <v>73.643410852713174</v>
      </c>
      <c r="H122">
        <v>71.698113207547166</v>
      </c>
      <c r="I122">
        <v>100</v>
      </c>
      <c r="J122">
        <v>80.357142857142861</v>
      </c>
      <c r="K122">
        <v>81.92771084337349</v>
      </c>
      <c r="L122">
        <v>92.307692307692307</v>
      </c>
      <c r="M122">
        <v>77.931034482758619</v>
      </c>
      <c r="N122">
        <v>77.319587628865989</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80</v>
      </c>
      <c r="D123">
        <v>95.238095238095227</v>
      </c>
      <c r="E123">
        <v>89.795918367346943</v>
      </c>
      <c r="F123">
        <v>100</v>
      </c>
      <c r="G123">
        <v>97.674418604651152</v>
      </c>
      <c r="H123">
        <v>99.397590361445793</v>
      </c>
      <c r="I123">
        <v>80</v>
      </c>
      <c r="J123">
        <v>96.15384615384616</v>
      </c>
      <c r="K123">
        <v>94.642857142857139</v>
      </c>
      <c r="L123">
        <v>100</v>
      </c>
      <c r="M123">
        <v>100</v>
      </c>
      <c r="N123">
        <v>97.402597402597408</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69.444444444444443</v>
      </c>
      <c r="E124">
        <v>86.79245283018868</v>
      </c>
      <c r="F124">
        <v>100</v>
      </c>
      <c r="G124">
        <v>75.862068965517238</v>
      </c>
      <c r="H124">
        <v>95.454545454545453</v>
      </c>
      <c r="I124">
        <v>100</v>
      </c>
      <c r="J124">
        <v>85.294117647058826</v>
      </c>
      <c r="K124">
        <v>91.111111111111114</v>
      </c>
      <c r="L124">
        <v>100</v>
      </c>
      <c r="M124">
        <v>93.103448275862064</v>
      </c>
      <c r="N124">
        <v>94.285714285714278</v>
      </c>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100</v>
      </c>
      <c r="D125">
        <v>82.35294117647058</v>
      </c>
      <c r="E125">
        <v>86.582809224318652</v>
      </c>
      <c r="F125">
        <v>90.909090909090907</v>
      </c>
      <c r="G125">
        <v>84.112149532710276</v>
      </c>
      <c r="H125">
        <v>90.243902439024396</v>
      </c>
      <c r="I125">
        <v>100</v>
      </c>
      <c r="J125">
        <v>84.693877551020407</v>
      </c>
      <c r="K125">
        <v>87.584650112866811</v>
      </c>
      <c r="L125">
        <v>100</v>
      </c>
      <c r="M125">
        <v>83.333333333333343</v>
      </c>
      <c r="N125">
        <v>83.887468030690542</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60</v>
      </c>
      <c r="D126">
        <v>74.193548387096769</v>
      </c>
      <c r="E126">
        <v>93.827160493827151</v>
      </c>
      <c r="F126">
        <v>75</v>
      </c>
      <c r="G126">
        <v>84.285714285714292</v>
      </c>
      <c r="H126">
        <v>92.173913043478265</v>
      </c>
      <c r="I126">
        <v>63.636363636363633</v>
      </c>
      <c r="J126">
        <v>84.848484848484844</v>
      </c>
      <c r="K126">
        <v>93.939393939393938</v>
      </c>
      <c r="L126">
        <v>78.571428571428569</v>
      </c>
      <c r="M126">
        <v>77.777777777777786</v>
      </c>
      <c r="N126">
        <v>95.50561797752809</v>
      </c>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93.333333333333329</v>
      </c>
      <c r="D127">
        <v>89.411764705882362</v>
      </c>
      <c r="E127">
        <v>95.794392523364493</v>
      </c>
      <c r="F127">
        <v>100</v>
      </c>
      <c r="G127">
        <v>95.945945945945937</v>
      </c>
      <c r="H127">
        <v>96.610169491525426</v>
      </c>
      <c r="I127">
        <v>100</v>
      </c>
      <c r="J127">
        <v>98.591549295774655</v>
      </c>
      <c r="K127">
        <v>95.673076923076934</v>
      </c>
      <c r="L127">
        <v>100</v>
      </c>
      <c r="M127">
        <v>92.982456140350877</v>
      </c>
      <c r="N127">
        <v>93.61702127659575</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77.777777777777786</v>
      </c>
      <c r="D128">
        <v>94.594594594594597</v>
      </c>
      <c r="E128">
        <v>93.63636363636364</v>
      </c>
      <c r="F128">
        <v>90</v>
      </c>
      <c r="G128">
        <v>89.024390243902445</v>
      </c>
      <c r="H128">
        <v>95.402298850574709</v>
      </c>
      <c r="I128">
        <v>75</v>
      </c>
      <c r="J128">
        <v>93.203883495145632</v>
      </c>
      <c r="K128">
        <v>93.449781659388648</v>
      </c>
      <c r="L128">
        <v>100</v>
      </c>
      <c r="M128">
        <v>92.708333333333343</v>
      </c>
      <c r="N128">
        <v>93.75</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73.68421052631578</v>
      </c>
      <c r="D129">
        <v>66.666666666666657</v>
      </c>
      <c r="E129">
        <v>89.473684210526315</v>
      </c>
      <c r="F129">
        <v>100</v>
      </c>
      <c r="G129">
        <v>63.218390804597703</v>
      </c>
      <c r="H129">
        <v>87.958115183246079</v>
      </c>
      <c r="I129">
        <v>75</v>
      </c>
      <c r="J129">
        <v>73.626373626373635</v>
      </c>
      <c r="K129">
        <v>91.469194312796205</v>
      </c>
      <c r="L129">
        <v>75</v>
      </c>
      <c r="M129">
        <v>68.292682926829272</v>
      </c>
      <c r="N129">
        <v>86.875</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50</v>
      </c>
      <c r="D130">
        <v>60</v>
      </c>
      <c r="E130">
        <v>41.025641025641022</v>
      </c>
      <c r="F130">
        <v>100</v>
      </c>
      <c r="G130">
        <v>76</v>
      </c>
      <c r="H130">
        <v>69.811320754716974</v>
      </c>
      <c r="I130">
        <v>100</v>
      </c>
      <c r="J130">
        <v>86.666666666666671</v>
      </c>
      <c r="K130">
        <v>93.442622950819683</v>
      </c>
      <c r="L130">
        <v>100</v>
      </c>
      <c r="M130">
        <v>81.818181818181827</v>
      </c>
      <c r="N130">
        <v>97.727272727272734</v>
      </c>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100</v>
      </c>
      <c r="D131">
        <v>89.65517241379311</v>
      </c>
      <c r="E131">
        <v>97.590361445783131</v>
      </c>
      <c r="F131">
        <v>100</v>
      </c>
      <c r="G131">
        <v>100</v>
      </c>
      <c r="H131">
        <v>93.103448275862064</v>
      </c>
      <c r="I131">
        <v>100</v>
      </c>
      <c r="J131">
        <v>100</v>
      </c>
      <c r="K131">
        <v>96.739130434782609</v>
      </c>
      <c r="L131">
        <v>50</v>
      </c>
      <c r="M131">
        <v>93.939393939393938</v>
      </c>
      <c r="N131">
        <v>97.647058823529406</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87.5</v>
      </c>
      <c r="D132">
        <v>88.043478260869563</v>
      </c>
      <c r="E132">
        <v>98.192771084337352</v>
      </c>
      <c r="F132">
        <v>85.714285714285708</v>
      </c>
      <c r="G132">
        <v>84.112149532710276</v>
      </c>
      <c r="H132">
        <v>95.135135135135144</v>
      </c>
      <c r="I132">
        <v>83.333333333333343</v>
      </c>
      <c r="J132">
        <v>94.642857142857139</v>
      </c>
      <c r="K132">
        <v>97.714285714285708</v>
      </c>
      <c r="L132">
        <v>90.909090909090907</v>
      </c>
      <c r="M132">
        <v>89.361702127659569</v>
      </c>
      <c r="N132">
        <v>97.5</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c r="D133">
        <v>85.714285714285708</v>
      </c>
      <c r="E133">
        <v>71.428571428571431</v>
      </c>
      <c r="F133">
        <v>50</v>
      </c>
      <c r="G133">
        <v>75</v>
      </c>
      <c r="H133">
        <v>100</v>
      </c>
      <c r="I133"/>
      <c r="J133">
        <v>100</v>
      </c>
      <c r="K133">
        <v>87.5</v>
      </c>
      <c r="L133"/>
      <c r="M133">
        <v>100</v>
      </c>
      <c r="N133">
        <v>64.285714285714292</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100</v>
      </c>
      <c r="D134">
        <v>96.551724137931032</v>
      </c>
      <c r="E134">
        <v>94.117647058823522</v>
      </c>
      <c r="F134">
        <v>100</v>
      </c>
      <c r="G134">
        <v>98.830409356725141</v>
      </c>
      <c r="H134">
        <v>90.35532994923858</v>
      </c>
      <c r="I134">
        <v>50</v>
      </c>
      <c r="J134">
        <v>95.850622406639005</v>
      </c>
      <c r="K134">
        <v>93.564356435643575</v>
      </c>
      <c r="L134">
        <v>100</v>
      </c>
      <c r="M134">
        <v>97.604790419161674</v>
      </c>
      <c r="N134">
        <v>92.1875</v>
      </c>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100</v>
      </c>
      <c r="D135">
        <v>89.247311827956992</v>
      </c>
      <c r="E135">
        <v>85.751978891820585</v>
      </c>
      <c r="F135">
        <v>100</v>
      </c>
      <c r="G135">
        <v>95.87155963302753</v>
      </c>
      <c r="H135">
        <v>94.73684210526315</v>
      </c>
      <c r="I135">
        <v>100</v>
      </c>
      <c r="J135">
        <v>95.867768595041326</v>
      </c>
      <c r="K135">
        <v>97.336561743341406</v>
      </c>
      <c r="L135">
        <v>100</v>
      </c>
      <c r="M135">
        <v>99.043062200956939</v>
      </c>
      <c r="N135">
        <v>98.319327731092429</v>
      </c>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84.615384615384613</v>
      </c>
      <c r="D136">
        <v>77.777777777777786</v>
      </c>
      <c r="E136">
        <v>86.538461538461547</v>
      </c>
      <c r="F136">
        <v>83.333333333333343</v>
      </c>
      <c r="G136">
        <v>80.14705882352942</v>
      </c>
      <c r="H136">
        <v>82.323232323232318</v>
      </c>
      <c r="I136">
        <v>88.235294117647058</v>
      </c>
      <c r="J136">
        <v>89.542483660130728</v>
      </c>
      <c r="K136">
        <v>89.777777777777771</v>
      </c>
      <c r="L136">
        <v>94.444444444444443</v>
      </c>
      <c r="M136">
        <v>88.622754491017957</v>
      </c>
      <c r="N136">
        <v>90.270270270270274</v>
      </c>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100</v>
      </c>
      <c r="D137">
        <v>83.870967741935488</v>
      </c>
      <c r="E137">
        <v>94.20289855072464</v>
      </c>
      <c r="F137">
        <v>85.714285714285708</v>
      </c>
      <c r="G137">
        <v>91.666666666666657</v>
      </c>
      <c r="H137">
        <v>97.777777777777771</v>
      </c>
      <c r="I137">
        <v>88.888888888888886</v>
      </c>
      <c r="J137">
        <v>79.069767441860463</v>
      </c>
      <c r="K137">
        <v>85.567010309278345</v>
      </c>
      <c r="L137">
        <v>100</v>
      </c>
      <c r="M137">
        <v>89.473684210526315</v>
      </c>
      <c r="N137">
        <v>87.5</v>
      </c>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100</v>
      </c>
      <c r="D138">
        <v>92.857142857142861</v>
      </c>
      <c r="E138">
        <v>95.112781954887211</v>
      </c>
      <c r="F138">
        <v>87.5</v>
      </c>
      <c r="G138">
        <v>93.333333333333329</v>
      </c>
      <c r="H138">
        <v>95.102040816326522</v>
      </c>
      <c r="I138">
        <v>100</v>
      </c>
      <c r="J138">
        <v>94.666666666666671</v>
      </c>
      <c r="K138">
        <v>92.460317460317469</v>
      </c>
      <c r="L138">
        <v>100</v>
      </c>
      <c r="M138">
        <v>76.712328767123282</v>
      </c>
      <c r="N138">
        <v>93.644067796610159</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83.333333333333343</v>
      </c>
      <c r="D139">
        <v>80.379746835443029</v>
      </c>
      <c r="E139">
        <v>87.022900763358777</v>
      </c>
      <c r="F139">
        <v>91.304347826086953</v>
      </c>
      <c r="G139">
        <v>84.375</v>
      </c>
      <c r="H139">
        <v>91.495601173020518</v>
      </c>
      <c r="I139">
        <v>88.888888888888886</v>
      </c>
      <c r="J139">
        <v>88.741721854304629</v>
      </c>
      <c r="K139">
        <v>92.113564668769726</v>
      </c>
      <c r="L139">
        <v>100</v>
      </c>
      <c r="M139">
        <v>86.713286713286706</v>
      </c>
      <c r="N139">
        <v>90.804597701149419</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100</v>
      </c>
      <c r="E140">
        <v>100</v>
      </c>
      <c r="F140">
        <v>100</v>
      </c>
      <c r="G140">
        <v>95.238095238095227</v>
      </c>
      <c r="H140">
        <v>98.68421052631578</v>
      </c>
      <c r="I140">
        <v>100</v>
      </c>
      <c r="J140">
        <v>94.444444444444443</v>
      </c>
      <c r="K140">
        <v>94.915254237288138</v>
      </c>
      <c r="L140">
        <v>100</v>
      </c>
      <c r="M140">
        <v>89.473684210526315</v>
      </c>
      <c r="N140">
        <v>98.113207547169807</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100</v>
      </c>
      <c r="D141">
        <v>92.307692307692307</v>
      </c>
      <c r="E141">
        <v>91.2</v>
      </c>
      <c r="F141">
        <v>100</v>
      </c>
      <c r="G141">
        <v>90.707964601769902</v>
      </c>
      <c r="H141">
        <v>94.9579831932773</v>
      </c>
      <c r="I141">
        <v>100</v>
      </c>
      <c r="J141">
        <v>94.190871369294598</v>
      </c>
      <c r="K141">
        <v>95.019157088122611</v>
      </c>
      <c r="L141">
        <v>100</v>
      </c>
      <c r="M141">
        <v>94.680851063829792</v>
      </c>
      <c r="N141">
        <v>94.88636363636364</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81.818181818181827</v>
      </c>
      <c r="D142">
        <v>86.956521739130437</v>
      </c>
      <c r="E142">
        <v>90.967741935483872</v>
      </c>
      <c r="F142">
        <v>100</v>
      </c>
      <c r="G142">
        <v>84.285714285714292</v>
      </c>
      <c r="H142">
        <v>95.555555555555557</v>
      </c>
      <c r="I142">
        <v>87.5</v>
      </c>
      <c r="J142">
        <v>90</v>
      </c>
      <c r="K142">
        <v>94.117647058823522</v>
      </c>
      <c r="L142">
        <v>100</v>
      </c>
      <c r="M142">
        <v>89.795918367346943</v>
      </c>
      <c r="N142">
        <v>90.909090909090907</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100</v>
      </c>
      <c r="D143">
        <v>87.317073170731703</v>
      </c>
      <c r="E143">
        <v>92.318244170096023</v>
      </c>
      <c r="F143">
        <v>93.333333333333329</v>
      </c>
      <c r="G143">
        <v>91.370558375634516</v>
      </c>
      <c r="H143">
        <v>92.244897959183675</v>
      </c>
      <c r="I143">
        <v>86.956521739130437</v>
      </c>
      <c r="J143">
        <v>88.823529411764696</v>
      </c>
      <c r="K143">
        <v>93.74217772215269</v>
      </c>
      <c r="L143">
        <v>90.909090909090907</v>
      </c>
      <c r="M143">
        <v>91.457286432160799</v>
      </c>
      <c r="N143">
        <v>92.767295597484278</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90</v>
      </c>
      <c r="D144">
        <v>76.470588235294116</v>
      </c>
      <c r="E144">
        <v>81.132075471698116</v>
      </c>
      <c r="F144">
        <v>92.857142857142861</v>
      </c>
      <c r="G144">
        <v>85.333333333333343</v>
      </c>
      <c r="H144">
        <v>86.178861788617894</v>
      </c>
      <c r="I144">
        <v>70</v>
      </c>
      <c r="J144">
        <v>81.553398058252426</v>
      </c>
      <c r="K144">
        <v>90.774907749077499</v>
      </c>
      <c r="L144">
        <v>100</v>
      </c>
      <c r="M144">
        <v>88.764044943820224</v>
      </c>
      <c r="N144">
        <v>91.056910569105682</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71.428571428571431</v>
      </c>
      <c r="D145">
        <v>83.78378378378379</v>
      </c>
      <c r="E145">
        <v>86.075949367088612</v>
      </c>
      <c r="F145">
        <v>100</v>
      </c>
      <c r="G145">
        <v>73.91304347826086</v>
      </c>
      <c r="H145">
        <v>85.074626865671647</v>
      </c>
      <c r="I145">
        <v>60</v>
      </c>
      <c r="J145">
        <v>72.972972972972968</v>
      </c>
      <c r="K145">
        <v>96</v>
      </c>
      <c r="L145">
        <v>100</v>
      </c>
      <c r="M145">
        <v>58.974358974358978</v>
      </c>
      <c r="N145">
        <v>74.025974025974023</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92.031872509960152</v>
      </c>
      <c r="E146">
        <v>88.349514563106794</v>
      </c>
      <c r="F146">
        <v>100</v>
      </c>
      <c r="G146">
        <v>91.891891891891902</v>
      </c>
      <c r="H146">
        <v>95.801526717557252</v>
      </c>
      <c r="I146">
        <v>100</v>
      </c>
      <c r="J146">
        <v>96.226415094339629</v>
      </c>
      <c r="K146">
        <v>96.059113300492612</v>
      </c>
      <c r="L146">
        <v>100</v>
      </c>
      <c r="M146">
        <v>90.445859872611464</v>
      </c>
      <c r="N146">
        <v>90.049751243781088</v>
      </c>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83.333333333333343</v>
      </c>
      <c r="D147">
        <v>82</v>
      </c>
      <c r="E147">
        <v>94.285714285714278</v>
      </c>
      <c r="F147">
        <v>100</v>
      </c>
      <c r="G147">
        <v>90.196078431372555</v>
      </c>
      <c r="H147">
        <v>96.694214876033058</v>
      </c>
      <c r="I147">
        <v>80</v>
      </c>
      <c r="J147">
        <v>95.454545454545453</v>
      </c>
      <c r="K147">
        <v>99.264705882352942</v>
      </c>
      <c r="L147">
        <v>62.5</v>
      </c>
      <c r="M147">
        <v>93.023255813953483</v>
      </c>
      <c r="N147">
        <v>92.553191489361694</v>
      </c>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66.666666666666657</v>
      </c>
      <c r="D148">
        <v>58.82352941176471</v>
      </c>
      <c r="E148">
        <v>75.903614457831324</v>
      </c>
      <c r="F148">
        <v>100</v>
      </c>
      <c r="G148">
        <v>60.869565217391312</v>
      </c>
      <c r="H148">
        <v>75.308641975308646</v>
      </c>
      <c r="I148">
        <v>100</v>
      </c>
      <c r="J148">
        <v>66.666666666666657</v>
      </c>
      <c r="K148">
        <v>72.131147540983605</v>
      </c>
      <c r="L148"/>
      <c r="M148">
        <v>70.833333333333343</v>
      </c>
      <c r="N148">
        <v>81.818181818181827</v>
      </c>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78.94736842105263</v>
      </c>
      <c r="D149">
        <v>70.370370370370367</v>
      </c>
      <c r="E149">
        <v>78.48101265822784</v>
      </c>
      <c r="F149">
        <v>80</v>
      </c>
      <c r="G149">
        <v>79.166666666666657</v>
      </c>
      <c r="H149">
        <v>84.014869888475843</v>
      </c>
      <c r="I149">
        <v>50</v>
      </c>
      <c r="J149">
        <v>83.928571428571431</v>
      </c>
      <c r="K149">
        <v>85.328185328185327</v>
      </c>
      <c r="L149">
        <v>83.333333333333343</v>
      </c>
      <c r="M149">
        <v>91.588785046728972</v>
      </c>
      <c r="N149">
        <v>84.140969162995589</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100</v>
      </c>
      <c r="D150">
        <v>90.909090909090907</v>
      </c>
      <c r="E150">
        <v>80</v>
      </c>
      <c r="F150">
        <v>0</v>
      </c>
      <c r="G150">
        <v>11.111111111111111</v>
      </c>
      <c r="H150">
        <v>40</v>
      </c>
      <c r="I150">
        <v>50</v>
      </c>
      <c r="J150">
        <v>80</v>
      </c>
      <c r="K150">
        <v>70</v>
      </c>
      <c r="L150">
        <v>100</v>
      </c>
      <c r="M150">
        <v>90</v>
      </c>
      <c r="N150">
        <v>80</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100</v>
      </c>
      <c r="D151">
        <v>82.978723404255319</v>
      </c>
      <c r="E151">
        <v>96.25</v>
      </c>
      <c r="F151">
        <v>90</v>
      </c>
      <c r="G151">
        <v>91.891891891891902</v>
      </c>
      <c r="H151">
        <v>97.278911564625844</v>
      </c>
      <c r="I151">
        <v>100</v>
      </c>
      <c r="J151">
        <v>100</v>
      </c>
      <c r="K151">
        <v>100</v>
      </c>
      <c r="L151">
        <v>83.333333333333343</v>
      </c>
      <c r="M151">
        <v>96.15384615384616</v>
      </c>
      <c r="N151">
        <v>99.285714285714292</v>
      </c>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93.333333333333329</v>
      </c>
      <c r="D152">
        <v>85.714285714285708</v>
      </c>
      <c r="E152">
        <v>96.05263157894737</v>
      </c>
      <c r="F152">
        <v>81.818181818181827</v>
      </c>
      <c r="G152">
        <v>84.523809523809518</v>
      </c>
      <c r="H152">
        <v>96.566523605150209</v>
      </c>
      <c r="I152">
        <v>100</v>
      </c>
      <c r="J152">
        <v>96.428571428571431</v>
      </c>
      <c r="K152">
        <v>95.867768595041326</v>
      </c>
      <c r="L152">
        <v>100</v>
      </c>
      <c r="M152">
        <v>94.117647058823522</v>
      </c>
      <c r="N152">
        <v>97.816593886462883</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60</v>
      </c>
      <c r="D153">
        <v>77.41935483870968</v>
      </c>
      <c r="E153">
        <v>92.045454545454547</v>
      </c>
      <c r="F153">
        <v>100</v>
      </c>
      <c r="G153">
        <v>77.64705882352942</v>
      </c>
      <c r="H153">
        <v>87.2</v>
      </c>
      <c r="I153">
        <v>100</v>
      </c>
      <c r="J153">
        <v>72.727272727272734</v>
      </c>
      <c r="K153">
        <v>86.813186813186817</v>
      </c>
      <c r="L153">
        <v>83.333333333333343</v>
      </c>
      <c r="M153">
        <v>80.555555555555557</v>
      </c>
      <c r="N153">
        <v>94.444444444444443</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100</v>
      </c>
      <c r="D154">
        <v>84.05797101449275</v>
      </c>
      <c r="E154">
        <v>82.8125</v>
      </c>
      <c r="F154">
        <v>66.666666666666657</v>
      </c>
      <c r="G154">
        <v>76</v>
      </c>
      <c r="H154">
        <v>84.848484848484844</v>
      </c>
      <c r="I154">
        <v>88.888888888888886</v>
      </c>
      <c r="J154">
        <v>75</v>
      </c>
      <c r="K154">
        <v>72.268907563025209</v>
      </c>
      <c r="L154">
        <v>75</v>
      </c>
      <c r="M154">
        <v>87.755102040816325</v>
      </c>
      <c r="N154">
        <v>78.651685393258433</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95.833333333333343</v>
      </c>
      <c r="D155">
        <v>82</v>
      </c>
      <c r="E155">
        <v>84.493670886075947</v>
      </c>
      <c r="F155">
        <v>83.333333333333343</v>
      </c>
      <c r="G155">
        <v>78.512396694214885</v>
      </c>
      <c r="H155">
        <v>82.196969696969703</v>
      </c>
      <c r="I155">
        <v>91.666666666666657</v>
      </c>
      <c r="J155">
        <v>81.751824817518255</v>
      </c>
      <c r="K155">
        <v>77.203647416413375</v>
      </c>
      <c r="L155">
        <v>85.365853658536579</v>
      </c>
      <c r="M155">
        <v>78.212290502793294</v>
      </c>
      <c r="N155">
        <v>85.759493670886073</v>
      </c>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100</v>
      </c>
      <c r="E156">
        <v>100</v>
      </c>
      <c r="F156">
        <v>100</v>
      </c>
      <c r="G156">
        <v>100</v>
      </c>
      <c r="H156">
        <v>98.630136986301366</v>
      </c>
      <c r="I156">
        <v>100</v>
      </c>
      <c r="J156">
        <v>100</v>
      </c>
      <c r="K156">
        <v>98.113207547169807</v>
      </c>
      <c r="L156">
        <v>100</v>
      </c>
      <c r="M156">
        <v>87.5</v>
      </c>
      <c r="N156">
        <v>94.117647058823522</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88.888888888888886</v>
      </c>
      <c r="D157">
        <v>76.056338028169009</v>
      </c>
      <c r="E157">
        <v>96.174863387978135</v>
      </c>
      <c r="F157">
        <v>88.888888888888886</v>
      </c>
      <c r="G157">
        <v>76.056338028169009</v>
      </c>
      <c r="H157">
        <v>96.174863387978135</v>
      </c>
      <c r="I157">
        <v>100</v>
      </c>
      <c r="J157">
        <v>91.071428571428569</v>
      </c>
      <c r="K157">
        <v>95.305164319248831</v>
      </c>
      <c r="L157">
        <v>100</v>
      </c>
      <c r="M157">
        <v>95.238095238095227</v>
      </c>
      <c r="N157">
        <v>94.705882352941174</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100</v>
      </c>
      <c r="D158">
        <v>91.891891891891902</v>
      </c>
      <c r="E158">
        <v>96.078431372549019</v>
      </c>
      <c r="F158">
        <v>100</v>
      </c>
      <c r="G158">
        <v>87.5</v>
      </c>
      <c r="H158">
        <v>96.774193548387103</v>
      </c>
      <c r="I158">
        <v>100</v>
      </c>
      <c r="J158">
        <v>92.857142857142861</v>
      </c>
      <c r="K158">
        <v>89.743589743589752</v>
      </c>
      <c r="L158">
        <v>100</v>
      </c>
      <c r="M158">
        <v>65.625</v>
      </c>
      <c r="N158">
        <v>88.709677419354833</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85.714285714285708</v>
      </c>
      <c r="D159">
        <v>87.179487179487182</v>
      </c>
      <c r="E159">
        <v>99.656357388316152</v>
      </c>
      <c r="F159">
        <v>100</v>
      </c>
      <c r="G159">
        <v>88.059701492537314</v>
      </c>
      <c r="H159">
        <v>96.350364963503651</v>
      </c>
      <c r="I159">
        <v>100</v>
      </c>
      <c r="J159">
        <v>75</v>
      </c>
      <c r="K159">
        <v>92.63565891472868</v>
      </c>
      <c r="L159">
        <v>100</v>
      </c>
      <c r="M159">
        <v>89.333333333333329</v>
      </c>
      <c r="N159">
        <v>92.129629629629633</v>
      </c>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83.333333333333343</v>
      </c>
      <c r="D160">
        <v>97.435897435897431</v>
      </c>
      <c r="E160">
        <v>87.4015748031496</v>
      </c>
      <c r="F160">
        <v>100</v>
      </c>
      <c r="G160">
        <v>97.183098591549296</v>
      </c>
      <c r="H160">
        <v>96.15384615384616</v>
      </c>
      <c r="I160">
        <v>87.5</v>
      </c>
      <c r="J160">
        <v>96</v>
      </c>
      <c r="K160">
        <v>93.577981651376149</v>
      </c>
      <c r="L160">
        <v>100</v>
      </c>
      <c r="M160">
        <v>93.181818181818173</v>
      </c>
      <c r="N160">
        <v>91.304347826086953</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92.307692307692307</v>
      </c>
      <c r="D161">
        <v>97.802197802197796</v>
      </c>
      <c r="E161">
        <v>99.224806201550393</v>
      </c>
      <c r="F161">
        <v>93.333333333333329</v>
      </c>
      <c r="G161">
        <v>92.045454545454547</v>
      </c>
      <c r="H161">
        <v>96.815286624203821</v>
      </c>
      <c r="I161">
        <v>81.818181818181827</v>
      </c>
      <c r="J161">
        <v>94.318181818181827</v>
      </c>
      <c r="K161">
        <v>94.857142857142861</v>
      </c>
      <c r="L161">
        <v>71.428571428571431</v>
      </c>
      <c r="M161">
        <v>89.743589743589752</v>
      </c>
      <c r="N161">
        <v>95.890410958904098</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97.959183673469383</v>
      </c>
      <c r="E162">
        <v>99.601593625498012</v>
      </c>
      <c r="F162">
        <v>100</v>
      </c>
      <c r="G162">
        <v>100</v>
      </c>
      <c r="H162">
        <v>99.581589958159</v>
      </c>
      <c r="I162">
        <v>100</v>
      </c>
      <c r="J162">
        <v>100</v>
      </c>
      <c r="K162">
        <v>99.107142857142861</v>
      </c>
      <c r="L162">
        <v>100</v>
      </c>
      <c r="M162">
        <v>94.666666666666671</v>
      </c>
      <c r="N162">
        <v>98.941798941798936</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75</v>
      </c>
      <c r="D163">
        <v>72.727272727272734</v>
      </c>
      <c r="E163">
        <v>72.58064516129032</v>
      </c>
      <c r="F163">
        <v>0</v>
      </c>
      <c r="G163">
        <v>85.714285714285708</v>
      </c>
      <c r="H163">
        <v>70.886075949367083</v>
      </c>
      <c r="I163">
        <v>75</v>
      </c>
      <c r="J163">
        <v>89.285714285714292</v>
      </c>
      <c r="K163">
        <v>91.17647058823529</v>
      </c>
      <c r="L163">
        <v>87.5</v>
      </c>
      <c r="M163">
        <v>100</v>
      </c>
      <c r="N163">
        <v>86.842105263157904</v>
      </c>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94.444444444444443</v>
      </c>
      <c r="D164">
        <v>96.05263157894737</v>
      </c>
      <c r="E164">
        <v>94.791666666666657</v>
      </c>
      <c r="F164">
        <v>100</v>
      </c>
      <c r="G164">
        <v>85.483870967741936</v>
      </c>
      <c r="H164">
        <v>93.155893536121667</v>
      </c>
      <c r="I164">
        <v>96</v>
      </c>
      <c r="J164">
        <v>97.142857142857139</v>
      </c>
      <c r="K164">
        <v>91.139240506329116</v>
      </c>
      <c r="L164">
        <v>100</v>
      </c>
      <c r="M164">
        <v>98.113207547169807</v>
      </c>
      <c r="N164">
        <v>95.522388059701484</v>
      </c>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66.666666666666657</v>
      </c>
      <c r="D165">
        <v>90.666666666666657</v>
      </c>
      <c r="E165">
        <v>94.409937888198755</v>
      </c>
      <c r="F165">
        <v>66.666666666666657</v>
      </c>
      <c r="G165">
        <v>89.85507246376811</v>
      </c>
      <c r="H165">
        <v>94.318181818181827</v>
      </c>
      <c r="I165">
        <v>100</v>
      </c>
      <c r="J165">
        <v>92.941176470588232</v>
      </c>
      <c r="K165">
        <v>98.445595854922274</v>
      </c>
      <c r="L165">
        <v>100</v>
      </c>
      <c r="M165">
        <v>88.235294117647058</v>
      </c>
      <c r="N165">
        <v>94.936708860759495</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100</v>
      </c>
      <c r="D166">
        <v>80.851063829787222</v>
      </c>
      <c r="E166">
        <v>86.458333333333343</v>
      </c>
      <c r="F166">
        <v>100</v>
      </c>
      <c r="G166">
        <v>94.339622641509436</v>
      </c>
      <c r="H166">
        <v>91.666666666666657</v>
      </c>
      <c r="I166">
        <v>100</v>
      </c>
      <c r="J166">
        <v>83.636363636363626</v>
      </c>
      <c r="K166">
        <v>91.341991341991346</v>
      </c>
      <c r="L166">
        <v>100</v>
      </c>
      <c r="M166">
        <v>75.806451612903231</v>
      </c>
      <c r="N166">
        <v>89.032258064516128</v>
      </c>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100</v>
      </c>
      <c r="D167">
        <v>97.53086419753086</v>
      </c>
      <c r="E167">
        <v>89.261744966442961</v>
      </c>
      <c r="F167">
        <v>100</v>
      </c>
      <c r="G167">
        <v>93.84615384615384</v>
      </c>
      <c r="H167">
        <v>94.155844155844164</v>
      </c>
      <c r="I167">
        <v>92.857142857142861</v>
      </c>
      <c r="J167">
        <v>89.189189189189193</v>
      </c>
      <c r="K167">
        <v>96.428571428571431</v>
      </c>
      <c r="L167">
        <v>84.615384615384613</v>
      </c>
      <c r="M167">
        <v>91.549295774647888</v>
      </c>
      <c r="N167">
        <v>85.714285714285708</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83.333333333333343</v>
      </c>
      <c r="D168">
        <v>69.811320754716974</v>
      </c>
      <c r="E168">
        <v>74.522292993630572</v>
      </c>
      <c r="F168">
        <v>90</v>
      </c>
      <c r="G168">
        <v>78.84615384615384</v>
      </c>
      <c r="H168">
        <v>76.439790575916234</v>
      </c>
      <c r="I168">
        <v>81.818181818181827</v>
      </c>
      <c r="J168">
        <v>84.210526315789465</v>
      </c>
      <c r="K168">
        <v>84.137931034482762</v>
      </c>
      <c r="L168">
        <v>71.428571428571431</v>
      </c>
      <c r="M168">
        <v>85</v>
      </c>
      <c r="N168">
        <v>84.313725490196077</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60</v>
      </c>
      <c r="D169">
        <v>93.939393939393938</v>
      </c>
      <c r="E169">
        <v>91.304347826086953</v>
      </c>
      <c r="F169">
        <v>100</v>
      </c>
      <c r="G169">
        <v>94.285714285714278</v>
      </c>
      <c r="H169">
        <v>97.5</v>
      </c>
      <c r="I169">
        <v>88.888888888888886</v>
      </c>
      <c r="J169">
        <v>91.489361702127653</v>
      </c>
      <c r="K169">
        <v>95.78947368421052</v>
      </c>
      <c r="L169">
        <v>100</v>
      </c>
      <c r="M169">
        <v>89.583333333333343</v>
      </c>
      <c r="N169">
        <v>96.551724137931032</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54.901960784313729</v>
      </c>
      <c r="E170">
        <v>70.270270270270274</v>
      </c>
      <c r="F170">
        <v>100</v>
      </c>
      <c r="G170">
        <v>61.250000000000007</v>
      </c>
      <c r="H170">
        <v>64.024390243902445</v>
      </c>
      <c r="I170">
        <v>100</v>
      </c>
      <c r="J170">
        <v>71.942446043165461</v>
      </c>
      <c r="K170">
        <v>90.566037735849065</v>
      </c>
      <c r="L170">
        <v>100</v>
      </c>
      <c r="M170">
        <v>86.734693877551024</v>
      </c>
      <c r="N170">
        <v>88.549618320610691</v>
      </c>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90.909090909090907</v>
      </c>
      <c r="D171">
        <v>91.452991452991455</v>
      </c>
      <c r="E171">
        <v>94.520547945205479</v>
      </c>
      <c r="F171">
        <v>100</v>
      </c>
      <c r="G171">
        <v>97.560975609756099</v>
      </c>
      <c r="H171">
        <v>97.014925373134332</v>
      </c>
      <c r="I171">
        <v>80</v>
      </c>
      <c r="J171">
        <v>94.444444444444443</v>
      </c>
      <c r="K171">
        <v>97.27272727272728</v>
      </c>
      <c r="L171">
        <v>100</v>
      </c>
      <c r="M171">
        <v>97.222222222222214</v>
      </c>
      <c r="N171">
        <v>96.15384615384616</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100</v>
      </c>
      <c r="D172">
        <v>88.888888888888886</v>
      </c>
      <c r="E172">
        <v>82.178217821782169</v>
      </c>
      <c r="F172">
        <v>100</v>
      </c>
      <c r="G172">
        <v>89.361702127659569</v>
      </c>
      <c r="H172">
        <v>90.677966101694921</v>
      </c>
      <c r="I172">
        <v>100</v>
      </c>
      <c r="J172">
        <v>90</v>
      </c>
      <c r="K172">
        <v>92.783505154639172</v>
      </c>
      <c r="L172">
        <v>100</v>
      </c>
      <c r="M172">
        <v>90.740740740740748</v>
      </c>
      <c r="N172">
        <v>91.954022988505741</v>
      </c>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100</v>
      </c>
      <c r="D173">
        <v>100</v>
      </c>
      <c r="E173">
        <v>98.360655737704917</v>
      </c>
      <c r="F173">
        <v>75</v>
      </c>
      <c r="G173">
        <v>100</v>
      </c>
      <c r="H173">
        <v>100</v>
      </c>
      <c r="I173">
        <v>100</v>
      </c>
      <c r="J173">
        <v>96.969696969696969</v>
      </c>
      <c r="K173">
        <v>100</v>
      </c>
      <c r="L173">
        <v>100</v>
      </c>
      <c r="M173">
        <v>97.916666666666657</v>
      </c>
      <c r="N173">
        <v>100</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100</v>
      </c>
      <c r="D174">
        <v>92.307692307692307</v>
      </c>
      <c r="E174">
        <v>97.61904761904762</v>
      </c>
      <c r="F174">
        <v>75</v>
      </c>
      <c r="G174">
        <v>97.959183673469383</v>
      </c>
      <c r="H174">
        <v>96.035242290748897</v>
      </c>
      <c r="I174">
        <v>88.888888888888886</v>
      </c>
      <c r="J174">
        <v>87.755102040816325</v>
      </c>
      <c r="K174">
        <v>96</v>
      </c>
      <c r="L174">
        <v>66.666666666666657</v>
      </c>
      <c r="M174">
        <v>82.758620689655174</v>
      </c>
      <c r="N174">
        <v>92.432432432432435</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87.5</v>
      </c>
      <c r="D175">
        <v>84.210526315789465</v>
      </c>
      <c r="E175">
        <v>93.805309734513273</v>
      </c>
      <c r="F175">
        <v>93.75</v>
      </c>
      <c r="G175">
        <v>72.972972972972968</v>
      </c>
      <c r="H175">
        <v>87.155963302752298</v>
      </c>
      <c r="I175">
        <v>75</v>
      </c>
      <c r="J175">
        <v>80</v>
      </c>
      <c r="K175">
        <v>93.277310924369743</v>
      </c>
      <c r="L175">
        <v>100</v>
      </c>
      <c r="M175">
        <v>85.294117647058826</v>
      </c>
      <c r="N175">
        <v>92.913385826771659</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100</v>
      </c>
      <c r="D176">
        <v>92</v>
      </c>
      <c r="E176">
        <v>90</v>
      </c>
      <c r="F176">
        <v>80</v>
      </c>
      <c r="G176">
        <v>67.441860465116278</v>
      </c>
      <c r="H176">
        <v>80.597014925373131</v>
      </c>
      <c r="I176">
        <v>87.5</v>
      </c>
      <c r="J176">
        <v>76.666666666666671</v>
      </c>
      <c r="K176">
        <v>87.179487179487182</v>
      </c>
      <c r="L176">
        <v>88.888888888888886</v>
      </c>
      <c r="M176">
        <v>74.509803921568633</v>
      </c>
      <c r="N176">
        <v>88.888888888888886</v>
      </c>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94.565217391304344</v>
      </c>
      <c r="E177">
        <v>98.578199052132703</v>
      </c>
      <c r="F177">
        <v>100</v>
      </c>
      <c r="G177">
        <v>98.484848484848484</v>
      </c>
      <c r="H177">
        <v>98.918918918918919</v>
      </c>
      <c r="I177">
        <v>100</v>
      </c>
      <c r="J177">
        <v>95.714285714285722</v>
      </c>
      <c r="K177">
        <v>97.326203208556151</v>
      </c>
      <c r="L177">
        <v>100</v>
      </c>
      <c r="M177">
        <v>94.444444444444443</v>
      </c>
      <c r="N177">
        <v>96.236559139784944</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96</v>
      </c>
      <c r="D178">
        <v>69.892473118279568</v>
      </c>
      <c r="E178">
        <v>88.028169014084511</v>
      </c>
      <c r="F178">
        <v>100</v>
      </c>
      <c r="G178">
        <v>74.747474747474755</v>
      </c>
      <c r="H178">
        <v>83.763837638376387</v>
      </c>
      <c r="I178">
        <v>82.35294117647058</v>
      </c>
      <c r="J178">
        <v>84.536082474226802</v>
      </c>
      <c r="K178">
        <v>85.098039215686271</v>
      </c>
      <c r="L178">
        <v>74.074074074074076</v>
      </c>
      <c r="M178">
        <v>76.851851851851848</v>
      </c>
      <c r="N178">
        <v>79.537953795379536</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85.714285714285708</v>
      </c>
      <c r="D179">
        <v>89.795918367346943</v>
      </c>
      <c r="E179">
        <v>93.564356435643575</v>
      </c>
      <c r="F179">
        <v>85.714285714285708</v>
      </c>
      <c r="G179">
        <v>83.516483516483518</v>
      </c>
      <c r="H179">
        <v>94.907407407407405</v>
      </c>
      <c r="I179">
        <v>71.428571428571431</v>
      </c>
      <c r="J179">
        <v>84.158415841584159</v>
      </c>
      <c r="K179">
        <v>91.758241758241752</v>
      </c>
      <c r="L179">
        <v>80</v>
      </c>
      <c r="M179">
        <v>82.727272727272734</v>
      </c>
      <c r="N179">
        <v>93.627450980392155</v>
      </c>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99.2</v>
      </c>
      <c r="F180">
        <v>100</v>
      </c>
      <c r="G180">
        <v>100</v>
      </c>
      <c r="H180">
        <v>99.350649350649363</v>
      </c>
      <c r="I180">
        <v>100</v>
      </c>
      <c r="J180">
        <v>100</v>
      </c>
      <c r="K180">
        <v>99.421965317919074</v>
      </c>
      <c r="L180">
        <v>100</v>
      </c>
      <c r="M180">
        <v>100</v>
      </c>
      <c r="N180">
        <v>100</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50</v>
      </c>
      <c r="D181">
        <v>82.142857142857139</v>
      </c>
      <c r="E181">
        <v>93.220338983050837</v>
      </c>
      <c r="F181">
        <v>75</v>
      </c>
      <c r="G181">
        <v>87.5</v>
      </c>
      <c r="H181">
        <v>94.444444444444443</v>
      </c>
      <c r="I181">
        <v>100</v>
      </c>
      <c r="J181">
        <v>87.5</v>
      </c>
      <c r="K181">
        <v>98.214285714285708</v>
      </c>
      <c r="L181">
        <v>100</v>
      </c>
      <c r="M181">
        <v>86.36363636363636</v>
      </c>
      <c r="N181">
        <v>83.07692307692308</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100</v>
      </c>
      <c r="D182">
        <v>85.714285714285708</v>
      </c>
      <c r="E182">
        <v>95.275590551181097</v>
      </c>
      <c r="F182">
        <v>90.909090909090907</v>
      </c>
      <c r="G182">
        <v>88.571428571428569</v>
      </c>
      <c r="H182">
        <v>92</v>
      </c>
      <c r="I182">
        <v>85.714285714285708</v>
      </c>
      <c r="J182">
        <v>87.719298245614027</v>
      </c>
      <c r="K182">
        <v>84.496124031007753</v>
      </c>
      <c r="L182">
        <v>81.818181818181827</v>
      </c>
      <c r="M182">
        <v>85</v>
      </c>
      <c r="N182">
        <v>88.571428571428569</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c r="D183"/>
      <c r="E183"/>
      <c r="F183">
        <v>78.84615384615384</v>
      </c>
      <c r="G183">
        <v>81.97424892703863</v>
      </c>
      <c r="H183">
        <v>87.865655471289273</v>
      </c>
      <c r="I183">
        <v>80</v>
      </c>
      <c r="J183">
        <v>84.428223844282229</v>
      </c>
      <c r="K183">
        <v>86.316989737742304</v>
      </c>
      <c r="L183">
        <v>91.044776119402982</v>
      </c>
      <c r="M183">
        <v>79.310344827586206</v>
      </c>
      <c r="N183">
        <v>85.98726114649682</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78.94736842105263</v>
      </c>
      <c r="D184">
        <v>79.629629629629633</v>
      </c>
      <c r="E184">
        <v>85.714285714285708</v>
      </c>
      <c r="F184">
        <v>88.888888888888886</v>
      </c>
      <c r="G184">
        <v>81.578947368421055</v>
      </c>
      <c r="H184">
        <v>86.538461538461547</v>
      </c>
      <c r="I184">
        <v>85.18518518518519</v>
      </c>
      <c r="J184">
        <v>88.659793814432987</v>
      </c>
      <c r="K184">
        <v>84.911242603550292</v>
      </c>
      <c r="L184">
        <v>87.5</v>
      </c>
      <c r="M184">
        <v>82.474226804123703</v>
      </c>
      <c r="N184">
        <v>88.888888888888886</v>
      </c>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100</v>
      </c>
      <c r="D185">
        <v>88.888888888888886</v>
      </c>
      <c r="E185">
        <v>93.814432989690715</v>
      </c>
      <c r="F185">
        <v>100</v>
      </c>
      <c r="G185">
        <v>100</v>
      </c>
      <c r="H185">
        <v>89.411764705882362</v>
      </c>
      <c r="I185">
        <v>100</v>
      </c>
      <c r="J185">
        <v>96.296296296296291</v>
      </c>
      <c r="K185">
        <v>92.708333333333343</v>
      </c>
      <c r="L185">
        <v>100</v>
      </c>
      <c r="M185">
        <v>87.878787878787875</v>
      </c>
      <c r="N185">
        <v>86.238532110091754</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88.888888888888886</v>
      </c>
      <c r="D186">
        <v>79.66101694915254</v>
      </c>
      <c r="E186">
        <v>79.274611398963728</v>
      </c>
      <c r="F186">
        <v>100</v>
      </c>
      <c r="G186">
        <v>86.764705882352942</v>
      </c>
      <c r="H186">
        <v>85.064935064935071</v>
      </c>
      <c r="I186">
        <v>100</v>
      </c>
      <c r="J186">
        <v>85.074626865671647</v>
      </c>
      <c r="K186">
        <v>88.421052631578945</v>
      </c>
      <c r="L186">
        <v>75</v>
      </c>
      <c r="M186">
        <v>80.597014925373131</v>
      </c>
      <c r="N186">
        <v>89.156626506024097</v>
      </c>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100</v>
      </c>
      <c r="D187">
        <v>83.333333333333343</v>
      </c>
      <c r="E187">
        <v>90.196078431372555</v>
      </c>
      <c r="F187">
        <v>100</v>
      </c>
      <c r="G187">
        <v>95</v>
      </c>
      <c r="H187">
        <v>97.142857142857139</v>
      </c>
      <c r="I187">
        <v>62.5</v>
      </c>
      <c r="J187">
        <v>100</v>
      </c>
      <c r="K187">
        <v>92.307692307692307</v>
      </c>
      <c r="L187">
        <v>66.666666666666657</v>
      </c>
      <c r="M187">
        <v>100</v>
      </c>
      <c r="N187">
        <v>98.214285714285708</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88.888888888888886</v>
      </c>
      <c r="E188">
        <v>92.592592592592595</v>
      </c>
      <c r="F188">
        <v>100</v>
      </c>
      <c r="G188">
        <v>100</v>
      </c>
      <c r="H188">
        <v>98.360655737704917</v>
      </c>
      <c r="I188">
        <v>100</v>
      </c>
      <c r="J188">
        <v>92.857142857142861</v>
      </c>
      <c r="K188">
        <v>100</v>
      </c>
      <c r="L188"/>
      <c r="M188">
        <v>92.307692307692307</v>
      </c>
      <c r="N188">
        <v>96.491228070175438</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93.023255813953483</v>
      </c>
      <c r="E189">
        <v>94.444444444444443</v>
      </c>
      <c r="F189">
        <v>100</v>
      </c>
      <c r="G189">
        <v>93.181818181818173</v>
      </c>
      <c r="H189">
        <v>96.373056994818654</v>
      </c>
      <c r="I189">
        <v>100</v>
      </c>
      <c r="J189">
        <v>93.84615384615384</v>
      </c>
      <c r="K189">
        <v>95.731707317073173</v>
      </c>
      <c r="L189">
        <v>100</v>
      </c>
      <c r="M189">
        <v>93.181818181818173</v>
      </c>
      <c r="N189">
        <v>97.727272727272734</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88.135593220338976</v>
      </c>
      <c r="E190">
        <v>92.513368983957221</v>
      </c>
      <c r="F190">
        <v>100</v>
      </c>
      <c r="G190">
        <v>75.862068965517238</v>
      </c>
      <c r="H190">
        <v>84.792626728110605</v>
      </c>
      <c r="I190">
        <v>100</v>
      </c>
      <c r="J190">
        <v>90.410958904109577</v>
      </c>
      <c r="K190">
        <v>88.571428571428569</v>
      </c>
      <c r="L190">
        <v>100</v>
      </c>
      <c r="M190">
        <v>75.675675675675677</v>
      </c>
      <c r="N190">
        <v>83.009708737864074</v>
      </c>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100</v>
      </c>
      <c r="D191">
        <v>90.566037735849065</v>
      </c>
      <c r="E191">
        <v>92.473118279569889</v>
      </c>
      <c r="F191">
        <v>100</v>
      </c>
      <c r="G191">
        <v>96.226415094339629</v>
      </c>
      <c r="H191">
        <v>98.412698412698404</v>
      </c>
      <c r="I191">
        <v>100</v>
      </c>
      <c r="J191">
        <v>95</v>
      </c>
      <c r="K191">
        <v>95.454545454545453</v>
      </c>
      <c r="L191">
        <v>100</v>
      </c>
      <c r="M191">
        <v>95.454545454545453</v>
      </c>
      <c r="N191">
        <v>90.540540540540533</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100</v>
      </c>
      <c r="D192">
        <v>80</v>
      </c>
      <c r="E192">
        <v>86.776859504132233</v>
      </c>
      <c r="F192">
        <v>75</v>
      </c>
      <c r="G192">
        <v>77.083333333333343</v>
      </c>
      <c r="H192">
        <v>84.955752212389385</v>
      </c>
      <c r="I192">
        <v>78.571428571428569</v>
      </c>
      <c r="J192">
        <v>85.91549295774648</v>
      </c>
      <c r="K192">
        <v>78.212290502793294</v>
      </c>
      <c r="L192">
        <v>91.666666666666657</v>
      </c>
      <c r="M192">
        <v>91.525423728813564</v>
      </c>
      <c r="N192">
        <v>83.333333333333343</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100</v>
      </c>
      <c r="D193">
        <v>97.368421052631575</v>
      </c>
      <c r="E193">
        <v>98.837209302325576</v>
      </c>
      <c r="F193">
        <v>60</v>
      </c>
      <c r="G193">
        <v>92.72727272727272</v>
      </c>
      <c r="H193">
        <v>97.714285714285708</v>
      </c>
      <c r="I193">
        <v>100</v>
      </c>
      <c r="J193">
        <v>89.473684210526315</v>
      </c>
      <c r="K193">
        <v>94.067796610169495</v>
      </c>
      <c r="L193">
        <v>100</v>
      </c>
      <c r="M193">
        <v>95.348837209302332</v>
      </c>
      <c r="N193">
        <v>93.893129770992374</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75</v>
      </c>
      <c r="D194">
        <v>70.909090909090907</v>
      </c>
      <c r="E194">
        <v>71.978021978021971</v>
      </c>
      <c r="F194">
        <v>100</v>
      </c>
      <c r="G194">
        <v>100</v>
      </c>
      <c r="H194">
        <v>98.98989898989899</v>
      </c>
      <c r="I194">
        <v>100</v>
      </c>
      <c r="J194">
        <v>100</v>
      </c>
      <c r="K194">
        <v>98.630136986301366</v>
      </c>
      <c r="L194">
        <v>100</v>
      </c>
      <c r="M194">
        <v>100</v>
      </c>
      <c r="N194">
        <v>94.53125</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90</v>
      </c>
      <c r="D195">
        <v>96.296296296296291</v>
      </c>
      <c r="E195">
        <v>99</v>
      </c>
      <c r="F195">
        <v>100</v>
      </c>
      <c r="G195">
        <v>92.307692307692307</v>
      </c>
      <c r="H195">
        <v>92.982456140350877</v>
      </c>
      <c r="I195">
        <v>100</v>
      </c>
      <c r="J195">
        <v>98.387096774193552</v>
      </c>
      <c r="K195">
        <v>100</v>
      </c>
      <c r="L195">
        <v>100</v>
      </c>
      <c r="M195">
        <v>96.491228070175438</v>
      </c>
      <c r="N195">
        <v>98.876404494382015</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100</v>
      </c>
      <c r="D196">
        <v>84.444444444444443</v>
      </c>
      <c r="E196">
        <v>91.40625</v>
      </c>
      <c r="F196">
        <v>100</v>
      </c>
      <c r="G196">
        <v>90.625</v>
      </c>
      <c r="H196">
        <v>92.436974789915965</v>
      </c>
      <c r="I196">
        <v>100</v>
      </c>
      <c r="J196">
        <v>82.857142857142861</v>
      </c>
      <c r="K196">
        <v>88.235294117647058</v>
      </c>
      <c r="L196">
        <v>100</v>
      </c>
      <c r="M196">
        <v>92.307692307692307</v>
      </c>
      <c r="N196">
        <v>92.391304347826093</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75</v>
      </c>
      <c r="D197">
        <v>65.979381443298962</v>
      </c>
      <c r="E197">
        <v>80.952380952380949</v>
      </c>
      <c r="F197">
        <v>80</v>
      </c>
      <c r="G197">
        <v>65.346534653465355</v>
      </c>
      <c r="H197">
        <v>87.570621468926561</v>
      </c>
      <c r="I197">
        <v>66.666666666666657</v>
      </c>
      <c r="J197">
        <v>87.096774193548384</v>
      </c>
      <c r="K197">
        <v>93.597560975609767</v>
      </c>
      <c r="L197">
        <v>100</v>
      </c>
      <c r="M197">
        <v>94.791666666666657</v>
      </c>
      <c r="N197">
        <v>97.122302158273371</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100</v>
      </c>
      <c r="D198">
        <v>86.666666666666671</v>
      </c>
      <c r="E198">
        <v>83.333333333333343</v>
      </c>
      <c r="F198">
        <v>100</v>
      </c>
      <c r="G198">
        <v>87.179487179487182</v>
      </c>
      <c r="H198">
        <v>91.489361702127653</v>
      </c>
      <c r="I198">
        <v>81.818181818181827</v>
      </c>
      <c r="J198">
        <v>95.238095238095227</v>
      </c>
      <c r="K198">
        <v>89.887640449438194</v>
      </c>
      <c r="L198">
        <v>100</v>
      </c>
      <c r="M198">
        <v>90.476190476190482</v>
      </c>
      <c r="N198">
        <v>86.206896551724128</v>
      </c>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100</v>
      </c>
      <c r="D199">
        <v>76.470588235294116</v>
      </c>
      <c r="E199">
        <v>89.285714285714292</v>
      </c>
      <c r="F199">
        <v>100</v>
      </c>
      <c r="G199">
        <v>94.73684210526315</v>
      </c>
      <c r="H199">
        <v>93.75</v>
      </c>
      <c r="I199">
        <v>75</v>
      </c>
      <c r="J199">
        <v>76.923076923076934</v>
      </c>
      <c r="K199">
        <v>84.375</v>
      </c>
      <c r="L199">
        <v>100</v>
      </c>
      <c r="M199">
        <v>80</v>
      </c>
      <c r="N199">
        <v>86.206896551724128</v>
      </c>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50</v>
      </c>
      <c r="D200">
        <v>79.6875</v>
      </c>
      <c r="E200">
        <v>92.146596858638745</v>
      </c>
      <c r="F200">
        <v>100</v>
      </c>
      <c r="G200">
        <v>89.393939393939391</v>
      </c>
      <c r="H200">
        <v>94.067796610169495</v>
      </c>
      <c r="I200">
        <v>100</v>
      </c>
      <c r="J200">
        <v>93.055555555555557</v>
      </c>
      <c r="K200">
        <v>95.102040816326522</v>
      </c>
      <c r="L200">
        <v>100</v>
      </c>
      <c r="M200">
        <v>80.232558139534888</v>
      </c>
      <c r="N200">
        <v>93.15789473684211</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57.142857142857139</v>
      </c>
      <c r="D201">
        <v>63.04347826086957</v>
      </c>
      <c r="E201">
        <v>63.725490196078425</v>
      </c>
      <c r="F201">
        <v>75</v>
      </c>
      <c r="G201">
        <v>74.576271186440678</v>
      </c>
      <c r="H201">
        <v>81.318681318681314</v>
      </c>
      <c r="I201">
        <v>100</v>
      </c>
      <c r="J201">
        <v>85.714285714285708</v>
      </c>
      <c r="K201">
        <v>85.714285714285708</v>
      </c>
      <c r="L201">
        <v>100</v>
      </c>
      <c r="M201">
        <v>81.481481481481481</v>
      </c>
      <c r="N201">
        <v>96.551724137931032</v>
      </c>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100</v>
      </c>
      <c r="D202">
        <v>84.722222222222214</v>
      </c>
      <c r="E202">
        <v>91.687041564792167</v>
      </c>
      <c r="F202">
        <v>75</v>
      </c>
      <c r="G202">
        <v>88.235294117647058</v>
      </c>
      <c r="H202">
        <v>91.314031180400889</v>
      </c>
      <c r="I202">
        <v>100</v>
      </c>
      <c r="J202">
        <v>86.4321608040201</v>
      </c>
      <c r="K202">
        <v>92.287917737789201</v>
      </c>
      <c r="L202">
        <v>100</v>
      </c>
      <c r="M202">
        <v>88.073394495412856</v>
      </c>
      <c r="N202">
        <v>89.64577656675749</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100</v>
      </c>
      <c r="D203">
        <v>81.25</v>
      </c>
      <c r="E203">
        <v>93.84615384615384</v>
      </c>
      <c r="F203">
        <v>90</v>
      </c>
      <c r="G203">
        <v>81.25</v>
      </c>
      <c r="H203">
        <v>93.043478260869563</v>
      </c>
      <c r="I203">
        <v>50</v>
      </c>
      <c r="J203">
        <v>73.076923076923066</v>
      </c>
      <c r="K203">
        <v>81.651376146788991</v>
      </c>
      <c r="L203">
        <v>90</v>
      </c>
      <c r="M203">
        <v>64.516129032258064</v>
      </c>
      <c r="N203">
        <v>93.220338983050837</v>
      </c>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100</v>
      </c>
      <c r="D204">
        <v>85.294117647058826</v>
      </c>
      <c r="E204">
        <v>90.476190476190482</v>
      </c>
      <c r="F204">
        <v>66.666666666666657</v>
      </c>
      <c r="G204">
        <v>91.666666666666657</v>
      </c>
      <c r="H204">
        <v>86.206896551724128</v>
      </c>
      <c r="I204">
        <v>66.666666666666657</v>
      </c>
      <c r="J204">
        <v>83.333333333333343</v>
      </c>
      <c r="K204">
        <v>84.615384615384613</v>
      </c>
      <c r="L204">
        <v>100</v>
      </c>
      <c r="M204">
        <v>63.888888888888886</v>
      </c>
      <c r="N204">
        <v>75.294117647058826</v>
      </c>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0</v>
      </c>
      <c r="D205">
        <v>82.926829268292678</v>
      </c>
      <c r="E205">
        <v>92.045454545454547</v>
      </c>
      <c r="F205"/>
      <c r="G205">
        <v>96.774193548387103</v>
      </c>
      <c r="H205">
        <v>90.540540540540533</v>
      </c>
      <c r="I205">
        <v>100</v>
      </c>
      <c r="J205">
        <v>90</v>
      </c>
      <c r="K205">
        <v>91.780821917808225</v>
      </c>
      <c r="L205">
        <v>100</v>
      </c>
      <c r="M205">
        <v>89.189189189189193</v>
      </c>
      <c r="N205">
        <v>100</v>
      </c>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100</v>
      </c>
      <c r="D206">
        <v>81.081081081081081</v>
      </c>
      <c r="E206">
        <v>85.227272727272734</v>
      </c>
      <c r="F206">
        <v>100</v>
      </c>
      <c r="G206">
        <v>77.64705882352942</v>
      </c>
      <c r="H206">
        <v>86.734693877551024</v>
      </c>
      <c r="I206">
        <v>100</v>
      </c>
      <c r="J206">
        <v>88.888888888888886</v>
      </c>
      <c r="K206">
        <v>92.857142857142861</v>
      </c>
      <c r="L206">
        <v>81.818181818181827</v>
      </c>
      <c r="M206">
        <v>94.20289855072464</v>
      </c>
      <c r="N206">
        <v>98.295454545454547</v>
      </c>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v>100</v>
      </c>
      <c r="G207">
        <v>100</v>
      </c>
      <c r="H207">
        <v>100</v>
      </c>
      <c r="I207">
        <v>100</v>
      </c>
      <c r="J207">
        <v>100</v>
      </c>
      <c r="K207">
        <v>100</v>
      </c>
      <c r="L207">
        <v>100</v>
      </c>
      <c r="M207">
        <v>100</v>
      </c>
      <c r="N207">
        <v>100</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100</v>
      </c>
      <c r="D208">
        <v>83.018867924528308</v>
      </c>
      <c r="E208">
        <v>87.931034482758619</v>
      </c>
      <c r="F208">
        <v>80</v>
      </c>
      <c r="G208">
        <v>71.428571428571431</v>
      </c>
      <c r="H208">
        <v>88.095238095238088</v>
      </c>
      <c r="I208">
        <v>80</v>
      </c>
      <c r="J208">
        <v>85.714285714285708</v>
      </c>
      <c r="K208">
        <v>95.652173913043484</v>
      </c>
      <c r="L208">
        <v>66.666666666666657</v>
      </c>
      <c r="M208">
        <v>71.428571428571431</v>
      </c>
      <c r="N208">
        <v>86.666666666666671</v>
      </c>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100</v>
      </c>
      <c r="D209">
        <v>90</v>
      </c>
      <c r="E209">
        <v>91.608391608391599</v>
      </c>
      <c r="F209">
        <v>85.714285714285708</v>
      </c>
      <c r="G209">
        <v>82.978723404255319</v>
      </c>
      <c r="H209">
        <v>87.719298245614027</v>
      </c>
      <c r="I209">
        <v>100</v>
      </c>
      <c r="J209">
        <v>75.510204081632651</v>
      </c>
      <c r="K209">
        <v>83.908045977011497</v>
      </c>
      <c r="L209">
        <v>100</v>
      </c>
      <c r="M209">
        <v>65.116279069767444</v>
      </c>
      <c r="N209">
        <v>64.444444444444443</v>
      </c>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87.5</v>
      </c>
      <c r="D210">
        <v>84.126984126984127</v>
      </c>
      <c r="E210">
        <v>91.358024691358025</v>
      </c>
      <c r="F210">
        <v>100</v>
      </c>
      <c r="G210">
        <v>83.870967741935488</v>
      </c>
      <c r="H210">
        <v>90.109890109890117</v>
      </c>
      <c r="I210">
        <v>88.888888888888886</v>
      </c>
      <c r="J210">
        <v>92.063492063492063</v>
      </c>
      <c r="K210">
        <v>89.156626506024097</v>
      </c>
      <c r="L210">
        <v>100</v>
      </c>
      <c r="M210">
        <v>80.519480519480524</v>
      </c>
      <c r="N210">
        <v>94.160583941605836</v>
      </c>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100</v>
      </c>
      <c r="D211">
        <v>91.666666666666657</v>
      </c>
      <c r="E211">
        <v>93.333333333333329</v>
      </c>
      <c r="F211">
        <v>100</v>
      </c>
      <c r="G211">
        <v>96.428571428571431</v>
      </c>
      <c r="H211">
        <v>94.666666666666671</v>
      </c>
      <c r="I211">
        <v>66.666666666666657</v>
      </c>
      <c r="J211">
        <v>85.714285714285708</v>
      </c>
      <c r="K211">
        <v>90.789473684210535</v>
      </c>
      <c r="L211">
        <v>100</v>
      </c>
      <c r="M211">
        <v>86.36363636363636</v>
      </c>
      <c r="N211">
        <v>98.181818181818187</v>
      </c>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77.777777777777786</v>
      </c>
      <c r="D212">
        <v>91.666666666666657</v>
      </c>
      <c r="E212">
        <v>88.679245283018872</v>
      </c>
      <c r="F212">
        <v>100</v>
      </c>
      <c r="G212">
        <v>81.818181818181827</v>
      </c>
      <c r="H212">
        <v>95.833333333333343</v>
      </c>
      <c r="I212">
        <v>100</v>
      </c>
      <c r="J212">
        <v>95.555555555555557</v>
      </c>
      <c r="K212">
        <v>97.435897435897431</v>
      </c>
      <c r="L212">
        <v>60</v>
      </c>
      <c r="M212">
        <v>94.444444444444443</v>
      </c>
      <c r="N212">
        <v>97.916666666666657</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71.428571428571431</v>
      </c>
      <c r="D213">
        <v>82.8125</v>
      </c>
      <c r="E213">
        <v>89.147286821705436</v>
      </c>
      <c r="F213">
        <v>58.333333333333336</v>
      </c>
      <c r="G213">
        <v>88.888888888888886</v>
      </c>
      <c r="H213">
        <v>83.78378378378379</v>
      </c>
      <c r="I213">
        <v>87.5</v>
      </c>
      <c r="J213">
        <v>83.928571428571431</v>
      </c>
      <c r="K213">
        <v>82.051282051282044</v>
      </c>
      <c r="L213">
        <v>77.777777777777786</v>
      </c>
      <c r="M213">
        <v>87.755102040816325</v>
      </c>
      <c r="N213">
        <v>95.348837209302332</v>
      </c>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100</v>
      </c>
      <c r="D214">
        <v>95.161290322580655</v>
      </c>
      <c r="E214">
        <v>93.82022471910112</v>
      </c>
      <c r="F214">
        <v>100</v>
      </c>
      <c r="G214">
        <v>83.050847457627114</v>
      </c>
      <c r="H214">
        <v>91.666666666666657</v>
      </c>
      <c r="I214">
        <v>100</v>
      </c>
      <c r="J214">
        <v>86.666666666666671</v>
      </c>
      <c r="K214">
        <v>94.701986754966882</v>
      </c>
      <c r="L214">
        <v>83.333333333333343</v>
      </c>
      <c r="M214">
        <v>90.625</v>
      </c>
      <c r="N214">
        <v>94.97206703910615</v>
      </c>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100</v>
      </c>
      <c r="D215">
        <v>92.592592592592595</v>
      </c>
      <c r="E215">
        <v>97.524752475247524</v>
      </c>
      <c r="F215">
        <v>85.714285714285708</v>
      </c>
      <c r="G215">
        <v>84.313725490196077</v>
      </c>
      <c r="H215">
        <v>94.73684210526315</v>
      </c>
      <c r="I215">
        <v>83.333333333333343</v>
      </c>
      <c r="J215">
        <v>88.461538461538453</v>
      </c>
      <c r="K215">
        <v>96.808510638297875</v>
      </c>
      <c r="L215">
        <v>100</v>
      </c>
      <c r="M215">
        <v>93.877551020408163</v>
      </c>
      <c r="N215">
        <v>95.918367346938766</v>
      </c>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92.857142857142861</v>
      </c>
      <c r="D216">
        <v>90.677966101694921</v>
      </c>
      <c r="E216">
        <v>95.238095238095227</v>
      </c>
      <c r="F216">
        <v>100</v>
      </c>
      <c r="G216">
        <v>91.452991452991455</v>
      </c>
      <c r="H216">
        <v>95.723684210526315</v>
      </c>
      <c r="I216">
        <v>100</v>
      </c>
      <c r="J216">
        <v>91.262135922330103</v>
      </c>
      <c r="K216">
        <v>98.305084745762713</v>
      </c>
      <c r="L216">
        <v>100</v>
      </c>
      <c r="M216">
        <v>94.339622641509436</v>
      </c>
      <c r="N216">
        <v>97.890295358649794</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100</v>
      </c>
      <c r="D217">
        <v>75.630252100840337</v>
      </c>
      <c r="E217">
        <v>82.849604221635886</v>
      </c>
      <c r="F217">
        <v>90</v>
      </c>
      <c r="G217">
        <v>80.291970802919707</v>
      </c>
      <c r="H217">
        <v>71.215880893300238</v>
      </c>
      <c r="I217">
        <v>86.36363636363636</v>
      </c>
      <c r="J217">
        <v>82.727272727272734</v>
      </c>
      <c r="K217">
        <v>81.77339901477832</v>
      </c>
      <c r="L217">
        <v>90</v>
      </c>
      <c r="M217">
        <v>82.758620689655174</v>
      </c>
      <c r="N217">
        <v>83.333333333333343</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87.5</v>
      </c>
      <c r="D218">
        <v>80.811808118081188</v>
      </c>
      <c r="E218">
        <v>92.383292383292385</v>
      </c>
      <c r="F218">
        <v>79.411764705882348</v>
      </c>
      <c r="G218">
        <v>87.951807228915655</v>
      </c>
      <c r="H218">
        <v>94.482758620689651</v>
      </c>
      <c r="I218">
        <v>80</v>
      </c>
      <c r="J218">
        <v>88</v>
      </c>
      <c r="K218">
        <v>94.457274826789842</v>
      </c>
      <c r="L218">
        <v>68.965517241379317</v>
      </c>
      <c r="M218">
        <v>86.602870813397132</v>
      </c>
      <c r="N218">
        <v>93.654822335025372</v>
      </c>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100</v>
      </c>
      <c r="D219">
        <v>66.666666666666657</v>
      </c>
      <c r="E219">
        <v>82.786885245901644</v>
      </c>
      <c r="F219">
        <v>100</v>
      </c>
      <c r="G219">
        <v>84.615384615384613</v>
      </c>
      <c r="H219">
        <v>80.172413793103445</v>
      </c>
      <c r="I219">
        <v>100</v>
      </c>
      <c r="J219">
        <v>73.076923076923066</v>
      </c>
      <c r="K219">
        <v>87.179487179487182</v>
      </c>
      <c r="L219">
        <v>83.333333333333343</v>
      </c>
      <c r="M219">
        <v>68.75</v>
      </c>
      <c r="N219">
        <v>89.230769230769241</v>
      </c>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100</v>
      </c>
      <c r="D220">
        <v>94.915254237288138</v>
      </c>
      <c r="E220">
        <v>91.118421052631575</v>
      </c>
      <c r="F220">
        <v>100</v>
      </c>
      <c r="G220">
        <v>88.679245283018872</v>
      </c>
      <c r="H220">
        <v>95.205479452054803</v>
      </c>
      <c r="I220">
        <v>100</v>
      </c>
      <c r="J220">
        <v>87.179487179487182</v>
      </c>
      <c r="K220">
        <v>91.459074733096088</v>
      </c>
      <c r="L220">
        <v>80</v>
      </c>
      <c r="M220">
        <v>83.333333333333343</v>
      </c>
      <c r="N220">
        <v>91.505791505791507</v>
      </c>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c r="D221"/>
      <c r="E221"/>
      <c r="F221">
        <v>81.818181818181827</v>
      </c>
      <c r="G221">
        <v>81.746031746031747</v>
      </c>
      <c r="H221">
        <v>89.280245022970902</v>
      </c>
      <c r="I221">
        <v>87.5</v>
      </c>
      <c r="J221">
        <v>91.223404255319153</v>
      </c>
      <c r="K221">
        <v>92.857142857142861</v>
      </c>
      <c r="L221">
        <v>88.888888888888886</v>
      </c>
      <c r="M221">
        <v>87.941176470588232</v>
      </c>
      <c r="N221">
        <v>94.483985765124558</v>
      </c>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90.909090909090907</v>
      </c>
      <c r="D222">
        <v>66.911764705882348</v>
      </c>
      <c r="E222">
        <v>85.161290322580641</v>
      </c>
      <c r="F222">
        <v>93.333333333333329</v>
      </c>
      <c r="G222">
        <v>78.260869565217391</v>
      </c>
      <c r="H222">
        <v>81.090909090909093</v>
      </c>
      <c r="I222">
        <v>94.73684210526315</v>
      </c>
      <c r="J222">
        <v>83.516483516483518</v>
      </c>
      <c r="K222">
        <v>88.973384030418245</v>
      </c>
      <c r="L222">
        <v>90</v>
      </c>
      <c r="M222">
        <v>86.206896551724128</v>
      </c>
      <c r="N222">
        <v>94.961240310077528</v>
      </c>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80</v>
      </c>
      <c r="D223">
        <v>81.25</v>
      </c>
      <c r="E223">
        <v>87.431693989071036</v>
      </c>
      <c r="F223">
        <v>100</v>
      </c>
      <c r="G223">
        <v>59.677419354838712</v>
      </c>
      <c r="H223">
        <v>87.704918032786878</v>
      </c>
      <c r="I223">
        <v>77.777777777777786</v>
      </c>
      <c r="J223">
        <v>79.166666666666657</v>
      </c>
      <c r="K223">
        <v>95.238095238095227</v>
      </c>
      <c r="L223">
        <v>60</v>
      </c>
      <c r="M223">
        <v>60.317460317460316</v>
      </c>
      <c r="N223">
        <v>82.882882882882882</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100</v>
      </c>
      <c r="D224">
        <v>89.65517241379311</v>
      </c>
      <c r="E224">
        <v>93.493150684931507</v>
      </c>
      <c r="F224">
        <v>94.117647058823522</v>
      </c>
      <c r="G224">
        <v>88.333333333333329</v>
      </c>
      <c r="H224">
        <v>91.050583657587552</v>
      </c>
      <c r="I224">
        <v>100</v>
      </c>
      <c r="J224">
        <v>92.682926829268297</v>
      </c>
      <c r="K224">
        <v>88.813559322033896</v>
      </c>
      <c r="L224">
        <v>91.666666666666657</v>
      </c>
      <c r="M224">
        <v>81.651376146788991</v>
      </c>
      <c r="N224">
        <v>91.121495327102807</v>
      </c>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76.923076923076934</v>
      </c>
      <c r="D225">
        <v>90.756302521008408</v>
      </c>
      <c r="E225">
        <v>85.46255506607929</v>
      </c>
      <c r="F225">
        <v>100</v>
      </c>
      <c r="G225">
        <v>93.258426966292134</v>
      </c>
      <c r="H225">
        <v>89.732142857142861</v>
      </c>
      <c r="I225">
        <v>91.666666666666657</v>
      </c>
      <c r="J225">
        <v>87.755102040816325</v>
      </c>
      <c r="K225">
        <v>93.181818181818173</v>
      </c>
      <c r="L225">
        <v>100</v>
      </c>
      <c r="M225">
        <v>86.458333333333343</v>
      </c>
      <c r="N225">
        <v>90.594059405940598</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75</v>
      </c>
      <c r="D226">
        <v>92.391304347826093</v>
      </c>
      <c r="E226">
        <v>97.5</v>
      </c>
      <c r="F226">
        <v>92.307692307692307</v>
      </c>
      <c r="G226">
        <v>96.666666666666671</v>
      </c>
      <c r="H226">
        <v>97.826086956521735</v>
      </c>
      <c r="I226">
        <v>100</v>
      </c>
      <c r="J226">
        <v>90.666666666666657</v>
      </c>
      <c r="K226">
        <v>92.307692307692307</v>
      </c>
      <c r="L226">
        <v>93.75</v>
      </c>
      <c r="M226">
        <v>95.238095238095227</v>
      </c>
      <c r="N226">
        <v>92.957746478873233</v>
      </c>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100</v>
      </c>
      <c r="D227">
        <v>86.075949367088612</v>
      </c>
      <c r="E227">
        <v>83.62573099415205</v>
      </c>
      <c r="F227">
        <v>42.857142857142854</v>
      </c>
      <c r="G227">
        <v>77.272727272727266</v>
      </c>
      <c r="H227">
        <v>73.456790123456798</v>
      </c>
      <c r="I227">
        <v>85.714285714285708</v>
      </c>
      <c r="J227">
        <v>69.333333333333343</v>
      </c>
      <c r="K227">
        <v>79.850746268656707</v>
      </c>
      <c r="L227">
        <v>90.909090909090907</v>
      </c>
      <c r="M227">
        <v>76.923076923076934</v>
      </c>
      <c r="N227">
        <v>83.088235294117652</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90.909090909090907</v>
      </c>
      <c r="D228">
        <v>88.235294117647058</v>
      </c>
      <c r="E228">
        <v>89.940828402366861</v>
      </c>
      <c r="F228">
        <v>100</v>
      </c>
      <c r="G228">
        <v>74.117647058823536</v>
      </c>
      <c r="H228">
        <v>90.454545454545453</v>
      </c>
      <c r="I228">
        <v>100</v>
      </c>
      <c r="J228">
        <v>94.285714285714278</v>
      </c>
      <c r="K228">
        <v>91.017964071856284</v>
      </c>
      <c r="L228">
        <v>80</v>
      </c>
      <c r="M228">
        <v>85.18518518518519</v>
      </c>
      <c r="N228">
        <v>96.44670050761421</v>
      </c>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84.615384615384613</v>
      </c>
      <c r="D229">
        <v>83.035714285714292</v>
      </c>
      <c r="E229">
        <v>91.743119266055047</v>
      </c>
      <c r="F229">
        <v>100</v>
      </c>
      <c r="G229">
        <v>89.583333333333343</v>
      </c>
      <c r="H229">
        <v>95.238095238095227</v>
      </c>
      <c r="I229">
        <v>100</v>
      </c>
      <c r="J229">
        <v>90.909090909090907</v>
      </c>
      <c r="K229">
        <v>90.519877675840974</v>
      </c>
      <c r="L229">
        <v>100</v>
      </c>
      <c r="M229">
        <v>88.28125</v>
      </c>
      <c r="N229">
        <v>90.666666666666657</v>
      </c>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66.666666666666657</v>
      </c>
      <c r="D230">
        <v>88.372093023255815</v>
      </c>
      <c r="E230">
        <v>92.307692307692307</v>
      </c>
      <c r="F230">
        <v>66.666666666666657</v>
      </c>
      <c r="G230">
        <v>77.5</v>
      </c>
      <c r="H230">
        <v>80.219780219780219</v>
      </c>
      <c r="I230">
        <v>80</v>
      </c>
      <c r="J230">
        <v>96.428571428571431</v>
      </c>
      <c r="K230">
        <v>97.802197802197796</v>
      </c>
      <c r="L230">
        <v>100</v>
      </c>
      <c r="M230">
        <v>95.121951219512198</v>
      </c>
      <c r="N230">
        <v>94.20289855072464</v>
      </c>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92.156862745098039</v>
      </c>
      <c r="E231">
        <v>92.857142857142861</v>
      </c>
      <c r="F231">
        <v>100</v>
      </c>
      <c r="G231">
        <v>89.361702127659569</v>
      </c>
      <c r="H231">
        <v>93.103448275862064</v>
      </c>
      <c r="I231">
        <v>100</v>
      </c>
      <c r="J231">
        <v>94</v>
      </c>
      <c r="K231">
        <v>93.333333333333329</v>
      </c>
      <c r="L231">
        <v>100</v>
      </c>
      <c r="M231">
        <v>85.18518518518519</v>
      </c>
      <c r="N231">
        <v>95.50561797752809</v>
      </c>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100</v>
      </c>
      <c r="E232">
        <v>96.25</v>
      </c>
      <c r="F232">
        <v>100</v>
      </c>
      <c r="G232">
        <v>76.923076923076934</v>
      </c>
      <c r="H232">
        <v>92.857142857142861</v>
      </c>
      <c r="I232">
        <v>100</v>
      </c>
      <c r="J232">
        <v>80.952380952380949</v>
      </c>
      <c r="K232">
        <v>90.4</v>
      </c>
      <c r="L232">
        <v>100</v>
      </c>
      <c r="M232">
        <v>41.17647058823529</v>
      </c>
      <c r="N232">
        <v>86.746987951807228</v>
      </c>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100</v>
      </c>
      <c r="D233">
        <v>94.73684210526315</v>
      </c>
      <c r="E233">
        <v>94.85294117647058</v>
      </c>
      <c r="F233">
        <v>100</v>
      </c>
      <c r="G233">
        <v>97.674418604651152</v>
      </c>
      <c r="H233">
        <v>96.774193548387103</v>
      </c>
      <c r="I233">
        <v>100</v>
      </c>
      <c r="J233">
        <v>88</v>
      </c>
      <c r="K233">
        <v>93.525179856115102</v>
      </c>
      <c r="L233">
        <v>83.333333333333343</v>
      </c>
      <c r="M233">
        <v>92.307692307692307</v>
      </c>
      <c r="N233">
        <v>98</v>
      </c>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100</v>
      </c>
      <c r="E234">
        <v>99.033816425120762</v>
      </c>
      <c r="F234">
        <v>100</v>
      </c>
      <c r="G234">
        <v>100</v>
      </c>
      <c r="H234">
        <v>98.969072164948457</v>
      </c>
      <c r="I234">
        <v>100</v>
      </c>
      <c r="J234">
        <v>98.901098901098905</v>
      </c>
      <c r="K234">
        <v>98.4375</v>
      </c>
      <c r="L234">
        <v>100</v>
      </c>
      <c r="M234">
        <v>98.648648648648646</v>
      </c>
      <c r="N234">
        <v>99.363057324840767</v>
      </c>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58.333333333333336</v>
      </c>
      <c r="D235">
        <v>82.35294117647058</v>
      </c>
      <c r="E235">
        <v>83.07692307692308</v>
      </c>
      <c r="F235">
        <v>90</v>
      </c>
      <c r="G235">
        <v>85.034013605442169</v>
      </c>
      <c r="H235">
        <v>88.986784140969164</v>
      </c>
      <c r="I235">
        <v>100</v>
      </c>
      <c r="J235">
        <v>87.857142857142861</v>
      </c>
      <c r="K235">
        <v>85.405405405405403</v>
      </c>
      <c r="L235">
        <v>72.727272727272734</v>
      </c>
      <c r="M235">
        <v>87.786259541984734</v>
      </c>
      <c r="N235">
        <v>91.891891891891902</v>
      </c>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100</v>
      </c>
      <c r="E236">
        <v>99.065420560747668</v>
      </c>
      <c r="F236">
        <v>100</v>
      </c>
      <c r="G236">
        <v>100</v>
      </c>
      <c r="H236">
        <v>100</v>
      </c>
      <c r="I236">
        <v>100</v>
      </c>
      <c r="J236">
        <v>97.872340425531917</v>
      </c>
      <c r="K236">
        <v>99.173553719008268</v>
      </c>
      <c r="L236">
        <v>100</v>
      </c>
      <c r="M236">
        <v>100</v>
      </c>
      <c r="N236">
        <v>96.428571428571431</v>
      </c>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90</v>
      </c>
      <c r="D237">
        <v>65.217391304347828</v>
      </c>
      <c r="E237">
        <v>63.525835866261396</v>
      </c>
      <c r="F237">
        <v>50</v>
      </c>
      <c r="G237">
        <v>56.962025316455701</v>
      </c>
      <c r="H237">
        <v>71.111111111111114</v>
      </c>
      <c r="I237">
        <v>100</v>
      </c>
      <c r="J237">
        <v>69.841269841269835</v>
      </c>
      <c r="K237">
        <v>59.069767441860463</v>
      </c>
      <c r="L237">
        <v>87.5</v>
      </c>
      <c r="M237">
        <v>59.322033898305079</v>
      </c>
      <c r="N237">
        <v>55.26315789473685</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100</v>
      </c>
      <c r="D238">
        <v>94.444444444444443</v>
      </c>
      <c r="E238">
        <v>97.53086419753086</v>
      </c>
      <c r="F238">
        <v>80</v>
      </c>
      <c r="G238">
        <v>94.117647058823522</v>
      </c>
      <c r="H238">
        <v>96.521739130434781</v>
      </c>
      <c r="I238">
        <v>100</v>
      </c>
      <c r="J238">
        <v>100</v>
      </c>
      <c r="K238">
        <v>100</v>
      </c>
      <c r="L238">
        <v>100</v>
      </c>
      <c r="M238">
        <v>95.454545454545453</v>
      </c>
      <c r="N238">
        <v>99.019607843137265</v>
      </c>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88.888888888888886</v>
      </c>
      <c r="D239">
        <v>74.025974025974023</v>
      </c>
      <c r="E239">
        <v>70.760233918128662</v>
      </c>
      <c r="F239">
        <v>90.909090909090907</v>
      </c>
      <c r="G239">
        <v>63.529411764705877</v>
      </c>
      <c r="H239">
        <v>78.787878787878782</v>
      </c>
      <c r="I239">
        <v>100</v>
      </c>
      <c r="J239">
        <v>79.104477611940297</v>
      </c>
      <c r="K239">
        <v>75.65217391304347</v>
      </c>
      <c r="L239">
        <v>84.615384615384613</v>
      </c>
      <c r="M239">
        <v>67.605633802816897</v>
      </c>
      <c r="N239">
        <v>85.826771653543304</v>
      </c>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92.857142857142861</v>
      </c>
      <c r="E240">
        <v>90.425531914893625</v>
      </c>
      <c r="F240">
        <v>100</v>
      </c>
      <c r="G240">
        <v>89.583333333333343</v>
      </c>
      <c r="H240">
        <v>84.93150684931507</v>
      </c>
      <c r="I240">
        <v>100</v>
      </c>
      <c r="J240">
        <v>93.103448275862064</v>
      </c>
      <c r="K240">
        <v>86.904761904761912</v>
      </c>
      <c r="L240">
        <v>100</v>
      </c>
      <c r="M240">
        <v>97.435897435897431</v>
      </c>
      <c r="N240">
        <v>95.890410958904098</v>
      </c>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80</v>
      </c>
      <c r="D241">
        <v>88.235294117647058</v>
      </c>
      <c r="E241">
        <v>93.548387096774192</v>
      </c>
      <c r="F241">
        <v>80</v>
      </c>
      <c r="G241">
        <v>100</v>
      </c>
      <c r="H241">
        <v>98.305084745762713</v>
      </c>
      <c r="I241">
        <v>100</v>
      </c>
      <c r="J241">
        <v>94.444444444444443</v>
      </c>
      <c r="K241">
        <v>90.909090909090907</v>
      </c>
      <c r="L241">
        <v>100</v>
      </c>
      <c r="M241">
        <v>100</v>
      </c>
      <c r="N241">
        <v>97.435897435897431</v>
      </c>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88.888888888888886</v>
      </c>
      <c r="D242">
        <v>95.918367346938766</v>
      </c>
      <c r="E242">
        <v>87.610619469026545</v>
      </c>
      <c r="F242">
        <v>87.5</v>
      </c>
      <c r="G242">
        <v>93.939393939393938</v>
      </c>
      <c r="H242">
        <v>78.260869565217391</v>
      </c>
      <c r="I242">
        <v>100</v>
      </c>
      <c r="J242">
        <v>96.92307692307692</v>
      </c>
      <c r="K242">
        <v>97.391304347826093</v>
      </c>
      <c r="L242">
        <v>100</v>
      </c>
      <c r="M242">
        <v>92.156862745098039</v>
      </c>
      <c r="N242">
        <v>99.676375404530745</v>
      </c>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100</v>
      </c>
      <c r="D243">
        <v>90.625</v>
      </c>
      <c r="E243">
        <v>90.517241379310349</v>
      </c>
      <c r="F243">
        <v>66.666666666666657</v>
      </c>
      <c r="G243">
        <v>59.375</v>
      </c>
      <c r="H243">
        <v>85.593220338983059</v>
      </c>
      <c r="I243">
        <v>100</v>
      </c>
      <c r="J243">
        <v>71.794871794871796</v>
      </c>
      <c r="K243">
        <v>82.727272727272734</v>
      </c>
      <c r="L243">
        <v>66.666666666666657</v>
      </c>
      <c r="M243">
        <v>66.666666666666657</v>
      </c>
      <c r="N243">
        <v>90</v>
      </c>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97.61904761904762</v>
      </c>
      <c r="E244">
        <v>99.107142857142861</v>
      </c>
      <c r="F244">
        <v>100</v>
      </c>
      <c r="G244">
        <v>98.148148148148152</v>
      </c>
      <c r="H244">
        <v>94.680851063829792</v>
      </c>
      <c r="I244">
        <v>100</v>
      </c>
      <c r="J244">
        <v>93.023255813953483</v>
      </c>
      <c r="K244">
        <v>96.551724137931032</v>
      </c>
      <c r="L244">
        <v>100</v>
      </c>
      <c r="M244">
        <v>94.117647058823522</v>
      </c>
      <c r="N244">
        <v>97.029702970297024</v>
      </c>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83.333333333333343</v>
      </c>
      <c r="D245">
        <v>83.898305084745758</v>
      </c>
      <c r="E245">
        <v>78.07692307692308</v>
      </c>
      <c r="F245">
        <v>81.25</v>
      </c>
      <c r="G245">
        <v>69.607843137254903</v>
      </c>
      <c r="H245">
        <v>84.959349593495944</v>
      </c>
      <c r="I245">
        <v>87.5</v>
      </c>
      <c r="J245">
        <v>77.777777777777786</v>
      </c>
      <c r="K245">
        <v>84.92647058823529</v>
      </c>
      <c r="L245">
        <v>91.666666666666657</v>
      </c>
      <c r="M245">
        <v>75.862068965517238</v>
      </c>
      <c r="N245">
        <v>85.123966942148769</v>
      </c>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71.428571428571431</v>
      </c>
      <c r="D246">
        <v>92.222222222222229</v>
      </c>
      <c r="E246">
        <v>93.27354260089686</v>
      </c>
      <c r="F246">
        <v>90</v>
      </c>
      <c r="G246">
        <v>93.103448275862064</v>
      </c>
      <c r="H246">
        <v>93.680297397769522</v>
      </c>
      <c r="I246">
        <v>75</v>
      </c>
      <c r="J246">
        <v>91.044776119402982</v>
      </c>
      <c r="K246">
        <v>93.75</v>
      </c>
      <c r="L246">
        <v>87.5</v>
      </c>
      <c r="M246">
        <v>96.969696969696969</v>
      </c>
      <c r="N246">
        <v>94.907407407407405</v>
      </c>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100</v>
      </c>
      <c r="D247">
        <v>94.230769230769226</v>
      </c>
      <c r="E247">
        <v>94.354838709677423</v>
      </c>
      <c r="F247">
        <v>100</v>
      </c>
      <c r="G247">
        <v>93.877551020408163</v>
      </c>
      <c r="H247">
        <v>96.296296296296291</v>
      </c>
      <c r="I247">
        <v>90.909090909090907</v>
      </c>
      <c r="J247">
        <v>87.931034482758619</v>
      </c>
      <c r="K247">
        <v>98.518518518518519</v>
      </c>
      <c r="L247">
        <v>84.615384615384613</v>
      </c>
      <c r="M247">
        <v>100</v>
      </c>
      <c r="N247">
        <v>98.019801980198025</v>
      </c>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80</v>
      </c>
      <c r="D248">
        <v>84.375</v>
      </c>
      <c r="E248">
        <v>89.583333333333343</v>
      </c>
      <c r="F248">
        <v>100</v>
      </c>
      <c r="G248">
        <v>95.652173913043484</v>
      </c>
      <c r="H248">
        <v>94.666666666666671</v>
      </c>
      <c r="I248">
        <v>83.333333333333343</v>
      </c>
      <c r="J248">
        <v>80</v>
      </c>
      <c r="K248">
        <v>91.333333333333329</v>
      </c>
      <c r="L248">
        <v>100</v>
      </c>
      <c r="M248">
        <v>90.909090909090907</v>
      </c>
      <c r="N248">
        <v>95.041322314049594</v>
      </c>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100</v>
      </c>
      <c r="D249">
        <v>86.15384615384616</v>
      </c>
      <c r="E249">
        <v>96.8</v>
      </c>
      <c r="F249">
        <v>100</v>
      </c>
      <c r="G249">
        <v>90.909090909090907</v>
      </c>
      <c r="H249">
        <v>98.734177215189874</v>
      </c>
      <c r="I249">
        <v>75</v>
      </c>
      <c r="J249">
        <v>95.3125</v>
      </c>
      <c r="K249">
        <v>98.062015503875969</v>
      </c>
      <c r="L249">
        <v>100</v>
      </c>
      <c r="M249">
        <v>94.444444444444443</v>
      </c>
      <c r="N249">
        <v>99.069767441860463</v>
      </c>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53.846153846153847</v>
      </c>
      <c r="D250">
        <v>93.442622950819683</v>
      </c>
      <c r="E250">
        <v>95.495495495495504</v>
      </c>
      <c r="F250">
        <v>80</v>
      </c>
      <c r="G250">
        <v>88.235294117647058</v>
      </c>
      <c r="H250">
        <v>97.014925373134332</v>
      </c>
      <c r="I250">
        <v>63.157894736842103</v>
      </c>
      <c r="J250">
        <v>91.428571428571431</v>
      </c>
      <c r="K250">
        <v>97.345132743362825</v>
      </c>
      <c r="L250">
        <v>88.235294117647058</v>
      </c>
      <c r="M250">
        <v>98.076923076923066</v>
      </c>
      <c r="N250">
        <v>94.230769230769226</v>
      </c>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75</v>
      </c>
      <c r="D251">
        <v>90</v>
      </c>
      <c r="E251">
        <v>90.849673202614383</v>
      </c>
      <c r="F251">
        <v>100</v>
      </c>
      <c r="G251">
        <v>91.17647058823529</v>
      </c>
      <c r="H251">
        <v>85.820895522388057</v>
      </c>
      <c r="I251">
        <v>100</v>
      </c>
      <c r="J251">
        <v>96.428571428571431</v>
      </c>
      <c r="K251">
        <v>90.259740259740255</v>
      </c>
      <c r="L251">
        <v>100</v>
      </c>
      <c r="M251">
        <v>85.714285714285708</v>
      </c>
      <c r="N251">
        <v>95.270270270270274</v>
      </c>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100</v>
      </c>
      <c r="D252">
        <v>91.111111111111114</v>
      </c>
      <c r="E252">
        <v>95.049504950495049</v>
      </c>
      <c r="F252">
        <v>100</v>
      </c>
      <c r="G252">
        <v>93.939393939393938</v>
      </c>
      <c r="H252">
        <v>97.65625</v>
      </c>
      <c r="I252">
        <v>85.714285714285708</v>
      </c>
      <c r="J252">
        <v>89.65517241379311</v>
      </c>
      <c r="K252">
        <v>94.680851063829792</v>
      </c>
      <c r="L252">
        <v>100</v>
      </c>
      <c r="M252">
        <v>87.096774193548384</v>
      </c>
      <c r="N252">
        <v>89.473684210526315</v>
      </c>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100</v>
      </c>
      <c r="F253">
        <v>100</v>
      </c>
      <c r="G253">
        <v>100</v>
      </c>
      <c r="H253">
        <v>100</v>
      </c>
      <c r="I253"/>
      <c r="J253">
        <v>100</v>
      </c>
      <c r="K253">
        <v>97.727272727272734</v>
      </c>
      <c r="L253">
        <v>100</v>
      </c>
      <c r="M253">
        <v>100</v>
      </c>
      <c r="N253">
        <v>100</v>
      </c>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83.333333333333343</v>
      </c>
      <c r="D254">
        <v>89.65517241379311</v>
      </c>
      <c r="E254">
        <v>93.684210526315795</v>
      </c>
      <c r="F254">
        <v>100</v>
      </c>
      <c r="G254">
        <v>85.13513513513513</v>
      </c>
      <c r="H254">
        <v>94.285714285714278</v>
      </c>
      <c r="I254">
        <v>90</v>
      </c>
      <c r="J254">
        <v>85.074626865671647</v>
      </c>
      <c r="K254">
        <v>90.797546012269933</v>
      </c>
      <c r="L254">
        <v>60</v>
      </c>
      <c r="M254">
        <v>85.714285714285708</v>
      </c>
      <c r="N254">
        <v>88.387096774193552</v>
      </c>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100</v>
      </c>
      <c r="D255">
        <v>36.764705882352942</v>
      </c>
      <c r="E255">
        <v>65.94202898550725</v>
      </c>
      <c r="F255">
        <v>83.333333333333343</v>
      </c>
      <c r="G255">
        <v>70</v>
      </c>
      <c r="H255">
        <v>72.928176795580114</v>
      </c>
      <c r="I255">
        <v>0</v>
      </c>
      <c r="J255">
        <v>64.406779661016941</v>
      </c>
      <c r="K255">
        <v>79.824561403508781</v>
      </c>
      <c r="L255">
        <v>69.230769230769226</v>
      </c>
      <c r="M255">
        <v>74.137931034482762</v>
      </c>
      <c r="N255">
        <v>82.399999999999991</v>
      </c>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94.871794871794862</v>
      </c>
      <c r="E256">
        <v>99.122807017543863</v>
      </c>
      <c r="F256">
        <v>100</v>
      </c>
      <c r="G256">
        <v>97.058823529411768</v>
      </c>
      <c r="H256">
        <v>100</v>
      </c>
      <c r="I256">
        <v>100</v>
      </c>
      <c r="J256">
        <v>95.555555555555557</v>
      </c>
      <c r="K256">
        <v>96.932515337423311</v>
      </c>
      <c r="L256">
        <v>100</v>
      </c>
      <c r="M256">
        <v>98.245614035087712</v>
      </c>
      <c r="N256">
        <v>97.794117647058826</v>
      </c>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77.777777777777786</v>
      </c>
      <c r="D257">
        <v>71.111111111111114</v>
      </c>
      <c r="E257">
        <v>87.570621468926561</v>
      </c>
      <c r="F257">
        <v>90</v>
      </c>
      <c r="G257">
        <v>74.545454545454547</v>
      </c>
      <c r="H257">
        <v>87.79069767441861</v>
      </c>
      <c r="I257">
        <v>80</v>
      </c>
      <c r="J257">
        <v>83.870967741935488</v>
      </c>
      <c r="K257">
        <v>87.5</v>
      </c>
      <c r="L257">
        <v>94.117647058823522</v>
      </c>
      <c r="M257">
        <v>86.36363636363636</v>
      </c>
      <c r="N257">
        <v>89.705882352941174</v>
      </c>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100</v>
      </c>
      <c r="D258">
        <v>84.523809523809518</v>
      </c>
      <c r="E258">
        <v>91.855203619909503</v>
      </c>
      <c r="F258">
        <v>75</v>
      </c>
      <c r="G258">
        <v>93.670886075949369</v>
      </c>
      <c r="H258">
        <v>97.014925373134332</v>
      </c>
      <c r="I258">
        <v>81.818181818181827</v>
      </c>
      <c r="J258">
        <v>98.275862068965509</v>
      </c>
      <c r="K258">
        <v>94.883720930232556</v>
      </c>
      <c r="L258">
        <v>100</v>
      </c>
      <c r="M258">
        <v>85.483870967741936</v>
      </c>
      <c r="N258">
        <v>96.713615023474176</v>
      </c>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80</v>
      </c>
      <c r="D259">
        <v>67.64705882352942</v>
      </c>
      <c r="E259">
        <v>75.52447552447552</v>
      </c>
      <c r="F259">
        <v>62.5</v>
      </c>
      <c r="G259">
        <v>79.166666666666657</v>
      </c>
      <c r="H259">
        <v>91.21621621621621</v>
      </c>
      <c r="I259">
        <v>75</v>
      </c>
      <c r="J259">
        <v>75.862068965517238</v>
      </c>
      <c r="K259">
        <v>85.106382978723403</v>
      </c>
      <c r="L259">
        <v>85.714285714285708</v>
      </c>
      <c r="M259">
        <v>86.206896551724128</v>
      </c>
      <c r="N259">
        <v>87.155963302752298</v>
      </c>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85.714285714285708</v>
      </c>
      <c r="D260">
        <v>64.935064935064929</v>
      </c>
      <c r="E260">
        <v>79.545454545454547</v>
      </c>
      <c r="F260">
        <v>90</v>
      </c>
      <c r="G260">
        <v>67.532467532467535</v>
      </c>
      <c r="H260">
        <v>86.524822695035468</v>
      </c>
      <c r="I260">
        <v>83.333333333333343</v>
      </c>
      <c r="J260">
        <v>71.25</v>
      </c>
      <c r="K260">
        <v>88.079470198675494</v>
      </c>
      <c r="L260">
        <v>73.333333333333329</v>
      </c>
      <c r="M260">
        <v>66.129032258064512</v>
      </c>
      <c r="N260">
        <v>76.296296296296291</v>
      </c>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60</v>
      </c>
      <c r="D261">
        <v>97.222222222222214</v>
      </c>
      <c r="E261">
        <v>98.857142857142861</v>
      </c>
      <c r="F261">
        <v>100</v>
      </c>
      <c r="G261">
        <v>100</v>
      </c>
      <c r="H261">
        <v>100</v>
      </c>
      <c r="I261">
        <v>100</v>
      </c>
      <c r="J261">
        <v>94.73684210526315</v>
      </c>
      <c r="K261">
        <v>99.465240641711233</v>
      </c>
      <c r="L261">
        <v>100</v>
      </c>
      <c r="M261">
        <v>97.368421052631575</v>
      </c>
      <c r="N261">
        <v>98.265895953757223</v>
      </c>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100</v>
      </c>
      <c r="D262">
        <v>97.872340425531917</v>
      </c>
      <c r="E262">
        <v>99.346405228758172</v>
      </c>
      <c r="F262">
        <v>91.666666666666657</v>
      </c>
      <c r="G262">
        <v>100</v>
      </c>
      <c r="H262">
        <v>99.056603773584911</v>
      </c>
      <c r="I262">
        <v>50</v>
      </c>
      <c r="J262">
        <v>98.181818181818187</v>
      </c>
      <c r="K262">
        <v>99.367088607594937</v>
      </c>
      <c r="L262">
        <v>100</v>
      </c>
      <c r="M262">
        <v>100</v>
      </c>
      <c r="N262">
        <v>99.206349206349216</v>
      </c>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100</v>
      </c>
      <c r="D263">
        <v>85.483870967741936</v>
      </c>
      <c r="E263">
        <v>92.825112107623326</v>
      </c>
      <c r="F263">
        <v>100</v>
      </c>
      <c r="G263">
        <v>91.891891891891902</v>
      </c>
      <c r="H263">
        <v>95.161290322580655</v>
      </c>
      <c r="I263">
        <v>100</v>
      </c>
      <c r="J263">
        <v>88.157894736842096</v>
      </c>
      <c r="K263">
        <v>96.019900497512438</v>
      </c>
      <c r="L263">
        <v>80</v>
      </c>
      <c r="M263">
        <v>86.206896551724128</v>
      </c>
      <c r="N263">
        <v>87.058823529411768</v>
      </c>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80</v>
      </c>
      <c r="D264">
        <v>80.701754385964904</v>
      </c>
      <c r="E264">
        <v>83.561643835616437</v>
      </c>
      <c r="F264">
        <v>100</v>
      </c>
      <c r="G264">
        <v>83.870967741935488</v>
      </c>
      <c r="H264">
        <v>86.131386861313857</v>
      </c>
      <c r="I264">
        <v>80</v>
      </c>
      <c r="J264">
        <v>79.591836734693871</v>
      </c>
      <c r="K264">
        <v>90.598290598290603</v>
      </c>
      <c r="L264">
        <v>66.666666666666657</v>
      </c>
      <c r="M264">
        <v>86</v>
      </c>
      <c r="N264">
        <v>90.625</v>
      </c>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100</v>
      </c>
      <c r="D265">
        <v>96.350364963503651</v>
      </c>
      <c r="E265">
        <v>84.415584415584405</v>
      </c>
      <c r="F265">
        <v>93.333333333333329</v>
      </c>
      <c r="G265">
        <v>89.84375</v>
      </c>
      <c r="H265">
        <v>87.804878048780495</v>
      </c>
      <c r="I265">
        <v>78.571428571428569</v>
      </c>
      <c r="J265">
        <v>95.8041958041958</v>
      </c>
      <c r="K265">
        <v>84.05797101449275</v>
      </c>
      <c r="L265">
        <v>100</v>
      </c>
      <c r="M265">
        <v>92.125984251968504</v>
      </c>
      <c r="N265">
        <v>86.956521739130437</v>
      </c>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100</v>
      </c>
      <c r="D266">
        <v>83.516483516483518</v>
      </c>
      <c r="E266">
        <v>87.704918032786878</v>
      </c>
      <c r="F266">
        <v>100</v>
      </c>
      <c r="G266">
        <v>89.583333333333343</v>
      </c>
      <c r="H266">
        <v>84.848484848484844</v>
      </c>
      <c r="I266">
        <v>87.5</v>
      </c>
      <c r="J266">
        <v>82.758620689655174</v>
      </c>
      <c r="K266">
        <v>80.536912751677846</v>
      </c>
      <c r="L266">
        <v>87.5</v>
      </c>
      <c r="M266">
        <v>92.5</v>
      </c>
      <c r="N266">
        <v>86.821705426356587</v>
      </c>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80</v>
      </c>
      <c r="D267">
        <v>79.245283018867923</v>
      </c>
      <c r="E267">
        <v>78.983050847457619</v>
      </c>
      <c r="F267">
        <v>100</v>
      </c>
      <c r="G267">
        <v>66.666666666666657</v>
      </c>
      <c r="H267">
        <v>80.653266331658287</v>
      </c>
      <c r="I267">
        <v>100</v>
      </c>
      <c r="J267">
        <v>72.727272727272734</v>
      </c>
      <c r="K267">
        <v>80</v>
      </c>
      <c r="L267">
        <v>100</v>
      </c>
      <c r="M267">
        <v>76.119402985074629</v>
      </c>
      <c r="N267">
        <v>82.730923694779108</v>
      </c>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98.591549295774655</v>
      </c>
      <c r="E268">
        <v>95.13274336283186</v>
      </c>
      <c r="F268">
        <v>100</v>
      </c>
      <c r="G268">
        <v>97.647058823529406</v>
      </c>
      <c r="H268">
        <v>98.841698841698843</v>
      </c>
      <c r="I268">
        <v>100</v>
      </c>
      <c r="J268">
        <v>97.802197802197796</v>
      </c>
      <c r="K268">
        <v>97.071129707112974</v>
      </c>
      <c r="L268">
        <v>100</v>
      </c>
      <c r="M268">
        <v>95.744680851063833</v>
      </c>
      <c r="N268">
        <v>98.892988929889299</v>
      </c>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100</v>
      </c>
      <c r="D269">
        <v>79.032258064516128</v>
      </c>
      <c r="E269">
        <v>88.405797101449281</v>
      </c>
      <c r="F269">
        <v>76.923076923076934</v>
      </c>
      <c r="G269">
        <v>77.777777777777786</v>
      </c>
      <c r="H269">
        <v>84.10041841004184</v>
      </c>
      <c r="I269">
        <v>76.923076923076934</v>
      </c>
      <c r="J269">
        <v>83.950617283950606</v>
      </c>
      <c r="K269">
        <v>90.134529147982065</v>
      </c>
      <c r="L269">
        <v>100</v>
      </c>
      <c r="M269">
        <v>65.686274509803923</v>
      </c>
      <c r="N269">
        <v>91.387559808612437</v>
      </c>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90.909090909090907</v>
      </c>
      <c r="D270">
        <v>89.230769230769241</v>
      </c>
      <c r="E270">
        <v>97.916666666666657</v>
      </c>
      <c r="F270">
        <v>92.857142857142861</v>
      </c>
      <c r="G270">
        <v>98.387096774193552</v>
      </c>
      <c r="H270">
        <v>98.477157360406082</v>
      </c>
      <c r="I270">
        <v>94.117647058823522</v>
      </c>
      <c r="J270">
        <v>93.103448275862064</v>
      </c>
      <c r="K270">
        <v>98.230088495575217</v>
      </c>
      <c r="L270">
        <v>87.5</v>
      </c>
      <c r="M270">
        <v>87.5</v>
      </c>
      <c r="N270">
        <v>96.208530805687204</v>
      </c>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100</v>
      </c>
      <c r="D271">
        <v>91.304347826086953</v>
      </c>
      <c r="E271">
        <v>92.093023255813961</v>
      </c>
      <c r="F271">
        <v>93.333333333333329</v>
      </c>
      <c r="G271">
        <v>92.553191489361694</v>
      </c>
      <c r="H271">
        <v>88.69047619047619</v>
      </c>
      <c r="I271">
        <v>100</v>
      </c>
      <c r="J271">
        <v>92.307692307692307</v>
      </c>
      <c r="K271">
        <v>91.372549019607845</v>
      </c>
      <c r="L271">
        <v>78.571428571428569</v>
      </c>
      <c r="M271">
        <v>89</v>
      </c>
      <c r="N271">
        <v>88.317757009345797</v>
      </c>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61.53846153846154</v>
      </c>
      <c r="D272">
        <v>48.4375</v>
      </c>
      <c r="E272">
        <v>83.908045977011497</v>
      </c>
      <c r="F272">
        <v>46.153846153846153</v>
      </c>
      <c r="G272">
        <v>43.859649122807014</v>
      </c>
      <c r="H272">
        <v>84.251968503937007</v>
      </c>
      <c r="I272">
        <v>61.53846153846154</v>
      </c>
      <c r="J272">
        <v>70.689655172413794</v>
      </c>
      <c r="K272">
        <v>87.022900763358777</v>
      </c>
      <c r="L272">
        <v>76.923076923076934</v>
      </c>
      <c r="M272">
        <v>75.757575757575751</v>
      </c>
      <c r="N272">
        <v>87.162162162162161</v>
      </c>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100</v>
      </c>
      <c r="D273">
        <v>81.300813008130078</v>
      </c>
      <c r="E273">
        <v>93.478260869565219</v>
      </c>
      <c r="F273">
        <v>100</v>
      </c>
      <c r="G273">
        <v>88.679245283018872</v>
      </c>
      <c r="H273">
        <v>92.116182572614107</v>
      </c>
      <c r="I273">
        <v>50</v>
      </c>
      <c r="J273">
        <v>80.180180180180187</v>
      </c>
      <c r="K273">
        <v>92.788461538461547</v>
      </c>
      <c r="L273">
        <v>100</v>
      </c>
      <c r="M273">
        <v>82.456140350877192</v>
      </c>
      <c r="N273">
        <v>90.721649484536087</v>
      </c>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100</v>
      </c>
      <c r="D274">
        <v>78.600823045267489</v>
      </c>
      <c r="E274">
        <v>76.056338028169009</v>
      </c>
      <c r="F274">
        <v>100</v>
      </c>
      <c r="G274">
        <v>75</v>
      </c>
      <c r="H274">
        <v>73.224043715847003</v>
      </c>
      <c r="I274">
        <v>80</v>
      </c>
      <c r="J274">
        <v>65.727699530516432</v>
      </c>
      <c r="K274">
        <v>66.049382716049394</v>
      </c>
      <c r="L274">
        <v>88.888888888888886</v>
      </c>
      <c r="M274">
        <v>85.714285714285708</v>
      </c>
      <c r="N274">
        <v>89.65517241379311</v>
      </c>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100</v>
      </c>
      <c r="D275">
        <v>85.714285714285708</v>
      </c>
      <c r="E275">
        <v>80</v>
      </c>
      <c r="F275">
        <v>92.307692307692307</v>
      </c>
      <c r="G275">
        <v>65.789473684210535</v>
      </c>
      <c r="H275">
        <v>69.902912621359221</v>
      </c>
      <c r="I275">
        <v>75</v>
      </c>
      <c r="J275">
        <v>77.272727272727266</v>
      </c>
      <c r="K275">
        <v>76.890756302521012</v>
      </c>
      <c r="L275">
        <v>62.5</v>
      </c>
      <c r="M275">
        <v>73.015873015873012</v>
      </c>
      <c r="N275">
        <v>71.291866028708128</v>
      </c>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80</v>
      </c>
      <c r="D276">
        <v>91.525423728813564</v>
      </c>
      <c r="E276">
        <v>96.58536585365853</v>
      </c>
      <c r="F276">
        <v>100</v>
      </c>
      <c r="G276">
        <v>96.610169491525426</v>
      </c>
      <c r="H276">
        <v>90.047393364928908</v>
      </c>
      <c r="I276">
        <v>100</v>
      </c>
      <c r="J276">
        <v>97.368421052631575</v>
      </c>
      <c r="K276">
        <v>95.774647887323937</v>
      </c>
      <c r="L276">
        <v>88.888888888888886</v>
      </c>
      <c r="M276">
        <v>91.17647058823529</v>
      </c>
      <c r="N276">
        <v>96.132596685082873</v>
      </c>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96.666666666666671</v>
      </c>
      <c r="E277">
        <v>98.245614035087712</v>
      </c>
      <c r="F277">
        <v>100</v>
      </c>
      <c r="G277">
        <v>90.909090909090907</v>
      </c>
      <c r="H277">
        <v>99</v>
      </c>
      <c r="I277">
        <v>100</v>
      </c>
      <c r="J277">
        <v>100</v>
      </c>
      <c r="K277">
        <v>93.137254901960787</v>
      </c>
      <c r="L277">
        <v>100</v>
      </c>
      <c r="M277">
        <v>100</v>
      </c>
      <c r="N277">
        <v>98.876404494382015</v>
      </c>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100</v>
      </c>
      <c r="D278">
        <v>90.625</v>
      </c>
      <c r="E278">
        <v>98.233215547703182</v>
      </c>
      <c r="F278">
        <v>100</v>
      </c>
      <c r="G278">
        <v>96.739130434782609</v>
      </c>
      <c r="H278">
        <v>97.333333333333343</v>
      </c>
      <c r="I278">
        <v>100</v>
      </c>
      <c r="J278">
        <v>95.294117647058812</v>
      </c>
      <c r="K278">
        <v>93.07228915662651</v>
      </c>
      <c r="L278">
        <v>100</v>
      </c>
      <c r="M278">
        <v>89.473684210526315</v>
      </c>
      <c r="N278">
        <v>85.919540229885058</v>
      </c>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96.15384615384616</v>
      </c>
      <c r="D279">
        <v>87.671232876712324</v>
      </c>
      <c r="E279">
        <v>95.583596214511047</v>
      </c>
      <c r="F279">
        <v>100</v>
      </c>
      <c r="G279">
        <v>87.931034482758619</v>
      </c>
      <c r="H279">
        <v>94.137931034482762</v>
      </c>
      <c r="I279">
        <v>84.615384615384613</v>
      </c>
      <c r="J279">
        <v>92.452830188679243</v>
      </c>
      <c r="K279">
        <v>92.173913043478265</v>
      </c>
      <c r="L279">
        <v>95</v>
      </c>
      <c r="M279">
        <v>92.173913043478265</v>
      </c>
      <c r="N279">
        <v>93.478260869565219</v>
      </c>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100</v>
      </c>
      <c r="D280">
        <v>93.333333333333329</v>
      </c>
      <c r="E280">
        <v>95.041322314049594</v>
      </c>
      <c r="F280">
        <v>100</v>
      </c>
      <c r="G280">
        <v>86.666666666666671</v>
      </c>
      <c r="H280">
        <v>95.26627218934911</v>
      </c>
      <c r="I280">
        <v>66.666666666666657</v>
      </c>
      <c r="J280">
        <v>90.909090909090907</v>
      </c>
      <c r="K280">
        <v>95.454545454545453</v>
      </c>
      <c r="L280"/>
      <c r="M280">
        <v>85.714285714285708</v>
      </c>
      <c r="N280">
        <v>94.354838709677423</v>
      </c>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80.952380952380949</v>
      </c>
      <c r="D281">
        <v>75.510204081632651</v>
      </c>
      <c r="E281">
        <v>76.142131979695421</v>
      </c>
      <c r="F281">
        <v>100</v>
      </c>
      <c r="G281">
        <v>75</v>
      </c>
      <c r="H281">
        <v>76.824034334763951</v>
      </c>
      <c r="I281">
        <v>90</v>
      </c>
      <c r="J281">
        <v>82.258064516129039</v>
      </c>
      <c r="K281">
        <v>80.952380952380949</v>
      </c>
      <c r="L281">
        <v>75</v>
      </c>
      <c r="M281">
        <v>81.578947368421055</v>
      </c>
      <c r="N281">
        <v>80.729166666666657</v>
      </c>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81.818181818181827</v>
      </c>
      <c r="E282">
        <v>89.130434782608688</v>
      </c>
      <c r="F282">
        <v>100</v>
      </c>
      <c r="G282">
        <v>75.675675675675677</v>
      </c>
      <c r="H282">
        <v>93.478260869565219</v>
      </c>
      <c r="I282">
        <v>100</v>
      </c>
      <c r="J282">
        <v>84.313725490196077</v>
      </c>
      <c r="K282">
        <v>95.161290322580655</v>
      </c>
      <c r="L282">
        <v>100</v>
      </c>
      <c r="M282">
        <v>76.59574468085107</v>
      </c>
      <c r="N282">
        <v>82.926829268292678</v>
      </c>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60</v>
      </c>
      <c r="D283">
        <v>62.68656716417911</v>
      </c>
      <c r="E283">
        <v>78.632478632478637</v>
      </c>
      <c r="F283">
        <v>50</v>
      </c>
      <c r="G283">
        <v>72.727272727272734</v>
      </c>
      <c r="H283">
        <v>82.568807339449549</v>
      </c>
      <c r="I283">
        <v>75</v>
      </c>
      <c r="J283">
        <v>67.441860465116278</v>
      </c>
      <c r="K283">
        <v>83.969465648854964</v>
      </c>
      <c r="L283">
        <v>100</v>
      </c>
      <c r="M283">
        <v>77.58620689655173</v>
      </c>
      <c r="N283">
        <v>89.010989010989007</v>
      </c>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94.117647058823522</v>
      </c>
      <c r="D284">
        <v>100</v>
      </c>
      <c r="E284">
        <v>100</v>
      </c>
      <c r="F284">
        <v>92.857142857142861</v>
      </c>
      <c r="G284">
        <v>100</v>
      </c>
      <c r="H284">
        <v>98.165137614678898</v>
      </c>
      <c r="I284">
        <v>88.888888888888886</v>
      </c>
      <c r="J284">
        <v>100</v>
      </c>
      <c r="K284">
        <v>96.907216494845358</v>
      </c>
      <c r="L284">
        <v>93.333333333333329</v>
      </c>
      <c r="M284">
        <v>96.36363636363636</v>
      </c>
      <c r="N284">
        <v>88.297872340425528</v>
      </c>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70</v>
      </c>
      <c r="D285">
        <v>76.582278481012651</v>
      </c>
      <c r="E285">
        <v>77.58620689655173</v>
      </c>
      <c r="F285">
        <v>89.473684210526315</v>
      </c>
      <c r="G285">
        <v>85.90604026845638</v>
      </c>
      <c r="H285">
        <v>88.009592326139085</v>
      </c>
      <c r="I285">
        <v>91.666666666666657</v>
      </c>
      <c r="J285">
        <v>84.732824427480907</v>
      </c>
      <c r="K285">
        <v>89.48863636363636</v>
      </c>
      <c r="L285">
        <v>83.333333333333343</v>
      </c>
      <c r="M285">
        <v>81.666666666666671</v>
      </c>
      <c r="N285">
        <v>85.666666666666671</v>
      </c>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87.5</v>
      </c>
      <c r="D286">
        <v>96.05263157894737</v>
      </c>
      <c r="E286">
        <v>93.30708661417323</v>
      </c>
      <c r="F286">
        <v>88.888888888888886</v>
      </c>
      <c r="G286">
        <v>96.721311475409834</v>
      </c>
      <c r="H286">
        <v>96.36363636363636</v>
      </c>
      <c r="I286">
        <v>84.615384615384613</v>
      </c>
      <c r="J286">
        <v>89.189189189189193</v>
      </c>
      <c r="K286">
        <v>96.610169491525426</v>
      </c>
      <c r="L286">
        <v>86.666666666666671</v>
      </c>
      <c r="M286">
        <v>85.333333333333343</v>
      </c>
      <c r="N286">
        <v>96.296296296296291</v>
      </c>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100</v>
      </c>
      <c r="D287">
        <v>80.952380952380949</v>
      </c>
      <c r="E287">
        <v>88.20754716981132</v>
      </c>
      <c r="F287">
        <v>94.444444444444443</v>
      </c>
      <c r="G287">
        <v>86.206896551724128</v>
      </c>
      <c r="H287">
        <v>73.611111111111114</v>
      </c>
      <c r="I287">
        <v>100</v>
      </c>
      <c r="J287">
        <v>95.081967213114751</v>
      </c>
      <c r="K287">
        <v>92.5</v>
      </c>
      <c r="L287">
        <v>90.909090909090907</v>
      </c>
      <c r="M287">
        <v>96.36363636363636</v>
      </c>
      <c r="N287">
        <v>96.666666666666671</v>
      </c>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71.428571428571431</v>
      </c>
      <c r="D288">
        <v>79.822616407982267</v>
      </c>
      <c r="E288">
        <v>68.486739469578779</v>
      </c>
      <c r="F288">
        <v>100</v>
      </c>
      <c r="G288">
        <v>75.65392354124748</v>
      </c>
      <c r="H288">
        <v>72.193877551020407</v>
      </c>
      <c r="I288">
        <v>75</v>
      </c>
      <c r="J288">
        <v>71.459227467811161</v>
      </c>
      <c r="K288">
        <v>71.989174560216512</v>
      </c>
      <c r="L288">
        <v>100</v>
      </c>
      <c r="M288">
        <v>82.618510158013549</v>
      </c>
      <c r="N288">
        <v>75.38699690402477</v>
      </c>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c r="D289"/>
      <c r="E289"/>
      <c r="F289">
        <v>100</v>
      </c>
      <c r="G289">
        <v>91.489361702127653</v>
      </c>
      <c r="H289">
        <v>84.210526315789465</v>
      </c>
      <c r="I289">
        <v>80</v>
      </c>
      <c r="J289">
        <v>86.36363636363636</v>
      </c>
      <c r="K289">
        <v>83.91959798994975</v>
      </c>
      <c r="L289">
        <v>90.909090909090907</v>
      </c>
      <c r="M289">
        <v>86.274509803921575</v>
      </c>
      <c r="N289">
        <v>83.870967741935488</v>
      </c>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88.888888888888886</v>
      </c>
      <c r="D290">
        <v>86.538461538461547</v>
      </c>
      <c r="E290">
        <v>97.794117647058826</v>
      </c>
      <c r="F290">
        <v>100</v>
      </c>
      <c r="G290">
        <v>82.456140350877192</v>
      </c>
      <c r="H290">
        <v>90.551181102362193</v>
      </c>
      <c r="I290">
        <v>100</v>
      </c>
      <c r="J290">
        <v>86.79245283018868</v>
      </c>
      <c r="K290">
        <v>91.851851851851848</v>
      </c>
      <c r="L290">
        <v>92.307692307692307</v>
      </c>
      <c r="M290">
        <v>84.313725490196077</v>
      </c>
      <c r="N290">
        <v>83.66013071895425</v>
      </c>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70.967741935483872</v>
      </c>
      <c r="D291">
        <v>75.912408759124077</v>
      </c>
      <c r="E291">
        <v>69.166666666666671</v>
      </c>
      <c r="F291">
        <v>78.787878787878782</v>
      </c>
      <c r="G291">
        <v>82.278481012658233</v>
      </c>
      <c r="H291">
        <v>83.372365339578465</v>
      </c>
      <c r="I291">
        <v>89.285714285714292</v>
      </c>
      <c r="J291">
        <v>91.479820627802695</v>
      </c>
      <c r="K291">
        <v>91.048951048951039</v>
      </c>
      <c r="L291">
        <v>96</v>
      </c>
      <c r="M291">
        <v>88</v>
      </c>
      <c r="N291">
        <v>92.452830188679243</v>
      </c>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100</v>
      </c>
      <c r="D292">
        <v>89.0625</v>
      </c>
      <c r="E292">
        <v>92.578125</v>
      </c>
      <c r="F292">
        <v>100</v>
      </c>
      <c r="G292">
        <v>88.095238095238088</v>
      </c>
      <c r="H292">
        <v>94.420600858369099</v>
      </c>
      <c r="I292">
        <v>80</v>
      </c>
      <c r="J292">
        <v>94.117647058823522</v>
      </c>
      <c r="K292">
        <v>95.041322314049594</v>
      </c>
      <c r="L292">
        <v>71.428571428571431</v>
      </c>
      <c r="M292">
        <v>95.081967213114751</v>
      </c>
      <c r="N292">
        <v>96.33507853403141</v>
      </c>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100</v>
      </c>
      <c r="D293">
        <v>80.519480519480524</v>
      </c>
      <c r="E293">
        <v>80.250783699059554</v>
      </c>
      <c r="F293">
        <v>100</v>
      </c>
      <c r="G293">
        <v>80.597014925373131</v>
      </c>
      <c r="H293">
        <v>83.974358974358978</v>
      </c>
      <c r="I293">
        <v>100</v>
      </c>
      <c r="J293">
        <v>77.142857142857153</v>
      </c>
      <c r="K293">
        <v>83.561643835616437</v>
      </c>
      <c r="L293">
        <v>85.714285714285708</v>
      </c>
      <c r="M293">
        <v>82.926829268292678</v>
      </c>
      <c r="N293">
        <v>81.355932203389841</v>
      </c>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70</v>
      </c>
      <c r="D294">
        <v>80</v>
      </c>
      <c r="E294">
        <v>82.110091743119256</v>
      </c>
      <c r="F294">
        <v>100</v>
      </c>
      <c r="G294">
        <v>82.926829268292678</v>
      </c>
      <c r="H294">
        <v>90.285714285714278</v>
      </c>
      <c r="I294">
        <v>87.5</v>
      </c>
      <c r="J294">
        <v>83.333333333333343</v>
      </c>
      <c r="K294">
        <v>81</v>
      </c>
      <c r="L294">
        <v>90.909090909090907</v>
      </c>
      <c r="M294">
        <v>89.473684210526315</v>
      </c>
      <c r="N294">
        <v>85.483870967741936</v>
      </c>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100</v>
      </c>
      <c r="D295">
        <v>84.848484848484844</v>
      </c>
      <c r="E295">
        <v>83.07692307692308</v>
      </c>
      <c r="F295">
        <v>100</v>
      </c>
      <c r="G295">
        <v>91.891891891891902</v>
      </c>
      <c r="H295">
        <v>79.56204379562044</v>
      </c>
      <c r="I295">
        <v>100</v>
      </c>
      <c r="J295">
        <v>75.862068965517238</v>
      </c>
      <c r="K295">
        <v>76.111111111111114</v>
      </c>
      <c r="L295">
        <v>50</v>
      </c>
      <c r="M295">
        <v>81.25</v>
      </c>
      <c r="N295">
        <v>74.264705882352942</v>
      </c>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100</v>
      </c>
      <c r="D296">
        <v>100</v>
      </c>
      <c r="E296">
        <v>100</v>
      </c>
      <c r="F296">
        <v>100</v>
      </c>
      <c r="G296">
        <v>98.113207547169807</v>
      </c>
      <c r="H296">
        <v>99.305555555555557</v>
      </c>
      <c r="I296">
        <v>92.307692307692307</v>
      </c>
      <c r="J296">
        <v>100</v>
      </c>
      <c r="K296">
        <v>98.076923076923066</v>
      </c>
      <c r="L296">
        <v>100</v>
      </c>
      <c r="M296">
        <v>100</v>
      </c>
      <c r="N296">
        <v>99.253731343283576</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92.307692307692307</v>
      </c>
      <c r="E297">
        <v>81.87919463087249</v>
      </c>
      <c r="F297">
        <v>100</v>
      </c>
      <c r="G297">
        <v>93.181818181818173</v>
      </c>
      <c r="H297">
        <v>87.943262411347519</v>
      </c>
      <c r="I297">
        <v>100</v>
      </c>
      <c r="J297">
        <v>82.978723404255319</v>
      </c>
      <c r="K297">
        <v>88.343558282208591</v>
      </c>
      <c r="L297">
        <v>100</v>
      </c>
      <c r="M297">
        <v>97.61904761904762</v>
      </c>
      <c r="N297">
        <v>94.857142857142861</v>
      </c>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50</v>
      </c>
      <c r="D298">
        <v>90.909090909090907</v>
      </c>
      <c r="E298">
        <v>97.058823529411768</v>
      </c>
      <c r="F298" t="s">
        <v>901</v>
      </c>
      <c r="G298">
        <v>87.5</v>
      </c>
      <c r="H298">
        <v>98.98989898989899</v>
      </c>
      <c r="I298">
        <v>100</v>
      </c>
      <c r="J298">
        <v>92.857142857142861</v>
      </c>
      <c r="K298">
        <v>95.348837209302332</v>
      </c>
      <c r="L298">
        <v>100</v>
      </c>
      <c r="M298">
        <v>96.969696969696969</v>
      </c>
      <c r="N298">
        <v>95.161290322580655</v>
      </c>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100</v>
      </c>
      <c r="D299">
        <v>75.555555555555557</v>
      </c>
      <c r="E299">
        <v>88.505747126436788</v>
      </c>
      <c r="F299">
        <v>100</v>
      </c>
      <c r="G299">
        <v>88.461538461538453</v>
      </c>
      <c r="H299">
        <v>92.741935483870961</v>
      </c>
      <c r="I299">
        <v>75</v>
      </c>
      <c r="J299">
        <v>87.272727272727266</v>
      </c>
      <c r="K299">
        <v>95.959595959595958</v>
      </c>
      <c r="L299">
        <v>100</v>
      </c>
      <c r="M299">
        <v>95.238095238095227</v>
      </c>
      <c r="N299">
        <v>92.222222222222229</v>
      </c>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100</v>
      </c>
      <c r="D300">
        <v>81.372549019607845</v>
      </c>
      <c r="E300">
        <v>77.889447236180914</v>
      </c>
      <c r="F300">
        <v>77.777777777777786</v>
      </c>
      <c r="G300">
        <v>76.237623762376245</v>
      </c>
      <c r="H300">
        <v>86.813186813186817</v>
      </c>
      <c r="I300">
        <v>55.555555555555557</v>
      </c>
      <c r="J300">
        <v>70.833333333333343</v>
      </c>
      <c r="K300">
        <v>83.333333333333343</v>
      </c>
      <c r="L300">
        <v>62.5</v>
      </c>
      <c r="M300">
        <v>84.297520661157023</v>
      </c>
      <c r="N300">
        <v>84.536082474226802</v>
      </c>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85.714285714285708</v>
      </c>
      <c r="D301">
        <v>72.972972972972968</v>
      </c>
      <c r="E301">
        <v>83.802816901408448</v>
      </c>
      <c r="F301">
        <v>83.333333333333343</v>
      </c>
      <c r="G301">
        <v>81.666666666666671</v>
      </c>
      <c r="H301">
        <v>91.304347826086953</v>
      </c>
      <c r="I301">
        <v>100</v>
      </c>
      <c r="J301">
        <v>79.166666666666657</v>
      </c>
      <c r="K301">
        <v>89.622641509433961</v>
      </c>
      <c r="L301">
        <v>71.428571428571431</v>
      </c>
      <c r="M301">
        <v>81.578947368421055</v>
      </c>
      <c r="N301">
        <v>89.772727272727266</v>
      </c>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100</v>
      </c>
      <c r="D302">
        <v>55.555555555555557</v>
      </c>
      <c r="E302">
        <v>82.089552238805979</v>
      </c>
      <c r="F302">
        <v>0</v>
      </c>
      <c r="G302">
        <v>72</v>
      </c>
      <c r="H302">
        <v>87.951807228915655</v>
      </c>
      <c r="I302">
        <v>100</v>
      </c>
      <c r="J302">
        <v>81.818181818181827</v>
      </c>
      <c r="K302">
        <v>86.111111111111114</v>
      </c>
      <c r="L302">
        <v>16.666666666666664</v>
      </c>
      <c r="M302">
        <v>79.545454545454547</v>
      </c>
      <c r="N302">
        <v>87.341772151898738</v>
      </c>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100</v>
      </c>
      <c r="D303">
        <v>93.84615384615384</v>
      </c>
      <c r="E303">
        <v>92.513368983957221</v>
      </c>
      <c r="F303">
        <v>90.909090909090907</v>
      </c>
      <c r="G303">
        <v>65.671641791044777</v>
      </c>
      <c r="H303">
        <v>81.746031746031747</v>
      </c>
      <c r="I303">
        <v>66.666666666666657</v>
      </c>
      <c r="J303">
        <v>73.68421052631578</v>
      </c>
      <c r="K303">
        <v>79.850746268656707</v>
      </c>
      <c r="L303">
        <v>100</v>
      </c>
      <c r="M303">
        <v>61.111111111111114</v>
      </c>
      <c r="N303">
        <v>81.777777777777786</v>
      </c>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2" activePane="bottomRight" state="frozen"/>
      <selection activeCell="N70" sqref="N70"/>
      <selection pane="topRight" activeCell="N70" sqref="N70"/>
      <selection pane="bottomLeft" activeCell="N70" sqref="N70"/>
      <selection pane="bottomRight" activeCell="K3" sqref="K3"/>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899</v>
      </c>
      <c r="D3" t="s">
        <v>899</v>
      </c>
      <c r="E3" s="25" t="s">
        <v>374</v>
      </c>
      <c r="F3" s="25" t="s">
        <v>385</v>
      </c>
      <c r="G3" s="25" t="s">
        <v>394</v>
      </c>
      <c r="H3" s="26" t="s">
        <v>891</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892</v>
      </c>
      <c r="I7" s="27" t="s">
        <v>892</v>
      </c>
      <c r="J7" t="s">
        <v>315</v>
      </c>
    </row>
    <row r="8" spans="1:13" ht="14.4">
      <c r="A8" s="22" t="str">
        <f>F8&amp;(COUNTIFS(F$2:F8,F8,K$2:K8,"Sparse"))</f>
        <v>SD1</v>
      </c>
      <c r="B8" s="22" t="str">
        <f>J8&amp;(COUNTIF(J$2:J8,J8))</f>
        <v>Suffolk1</v>
      </c>
      <c r="C8" t="s">
        <v>12</v>
      </c>
      <c r="D8" t="s">
        <v>12</v>
      </c>
      <c r="E8" s="25" t="s">
        <v>368</v>
      </c>
      <c r="F8" s="25" t="s">
        <v>379</v>
      </c>
      <c r="G8" s="25" t="s">
        <v>5</v>
      </c>
      <c r="H8" s="26" t="s">
        <v>891</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900</v>
      </c>
      <c r="D12" t="s">
        <v>900</v>
      </c>
      <c r="E12" s="25" t="s">
        <v>374</v>
      </c>
      <c r="F12" s="25" t="s">
        <v>385</v>
      </c>
      <c r="G12" s="25" t="s">
        <v>394</v>
      </c>
      <c r="H12" s="26" t="s">
        <v>891</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892</v>
      </c>
      <c r="I14" s="27" t="s">
        <v>892</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891</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892</v>
      </c>
      <c r="I16" s="27" t="s">
        <v>892</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892</v>
      </c>
      <c r="I17" s="27" t="s">
        <v>892</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892</v>
      </c>
      <c r="I23" s="27" t="s">
        <v>892</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892</v>
      </c>
      <c r="I25" s="27" t="s">
        <v>892</v>
      </c>
      <c r="J25" t="s">
        <v>318</v>
      </c>
      <c r="K25" t="s">
        <v>335</v>
      </c>
    </row>
    <row r="26" spans="1:11" ht="14.4">
      <c r="A26" s="22" t="str">
        <f>F26&amp;(COUNTIFS(F$2:F26,F26,K$2:K26,"Sparse"))</f>
        <v>UA2</v>
      </c>
      <c r="B26" s="22" t="str">
        <f>J26&amp;(COUNTIF(J$2:J26,J26))</f>
        <v>Unitary7</v>
      </c>
      <c r="C26" t="s">
        <v>896</v>
      </c>
      <c r="D26" t="s">
        <v>896</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891</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891</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892</v>
      </c>
      <c r="I32" s="27" t="s">
        <v>892</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892</v>
      </c>
      <c r="I35" s="27" t="s">
        <v>892</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892</v>
      </c>
      <c r="I40" s="27" t="s">
        <v>892</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892</v>
      </c>
      <c r="I47" s="27" t="s">
        <v>892</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891</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892</v>
      </c>
      <c r="I54" s="27" t="s">
        <v>892</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892</v>
      </c>
      <c r="I55" s="27" t="s">
        <v>892</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892</v>
      </c>
      <c r="I56" s="27" t="s">
        <v>892</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891</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892</v>
      </c>
      <c r="I59" s="27" t="s">
        <v>892</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892</v>
      </c>
      <c r="I61" s="27" t="s">
        <v>892</v>
      </c>
      <c r="J61" t="s">
        <v>311</v>
      </c>
    </row>
    <row r="62" spans="1:11" ht="14.4">
      <c r="A62" s="22" t="str">
        <f>F62&amp;(COUNTIFS(F$2:F62,F62,K$2:K62,"Sparse"))</f>
        <v>UA4</v>
      </c>
      <c r="B62" s="22" t="str">
        <f>J62&amp;(COUNTIF(J$2:J62,J62))</f>
        <v>Unitary15</v>
      </c>
      <c r="C62" t="s">
        <v>305</v>
      </c>
      <c r="D62" t="s">
        <v>305</v>
      </c>
      <c r="E62" s="25" t="s">
        <v>1</v>
      </c>
      <c r="F62" s="25" t="s">
        <v>385</v>
      </c>
      <c r="G62" s="25" t="s">
        <v>394</v>
      </c>
      <c r="H62" s="26" t="s">
        <v>891</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891</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892</v>
      </c>
      <c r="I67" s="27" t="s">
        <v>892</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892</v>
      </c>
      <c r="I71" s="27" t="s">
        <v>892</v>
      </c>
      <c r="J71" t="s">
        <v>307</v>
      </c>
    </row>
    <row r="72" spans="1:11" ht="14.4">
      <c r="A72" s="22" t="str">
        <f>F72&amp;(COUNTIFS(F$2:F72,F72,K$2:K72,"Sparse"))</f>
        <v>SD6</v>
      </c>
      <c r="B72" s="22" t="str">
        <f>J72&amp;(COUNTIF(J$2:J72,J72))</f>
        <v>Derbyshire5</v>
      </c>
      <c r="C72" t="s">
        <v>50</v>
      </c>
      <c r="D72" t="s">
        <v>50</v>
      </c>
      <c r="E72" s="25" t="s">
        <v>366</v>
      </c>
      <c r="F72" s="25" t="s">
        <v>379</v>
      </c>
      <c r="G72" s="25" t="s">
        <v>5</v>
      </c>
      <c r="H72" s="26" t="s">
        <v>891</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892</v>
      </c>
      <c r="I76" s="27" t="s">
        <v>892</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891</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891</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891</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891</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892</v>
      </c>
      <c r="I83" s="27" t="s">
        <v>892</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891</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891</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892</v>
      </c>
      <c r="I86" s="27" t="s">
        <v>892</v>
      </c>
      <c r="J86" t="s">
        <v>327</v>
      </c>
    </row>
    <row r="87" spans="1:11" ht="14.4">
      <c r="A87" s="22" t="str">
        <f>F87&amp;(COUNTIFS(F$2:F87,F87,K$2:K87,"Sparse"))</f>
        <v>SD10</v>
      </c>
      <c r="B87" s="22" t="str">
        <f>J87&amp;(COUNTIF(J$2:J87,J87))</f>
        <v>Suffolk2</v>
      </c>
      <c r="C87" t="s">
        <v>894</v>
      </c>
      <c r="D87" t="s">
        <v>894</v>
      </c>
      <c r="E87" s="25" t="s">
        <v>368</v>
      </c>
      <c r="F87" s="25" t="s">
        <v>379</v>
      </c>
      <c r="G87" s="25" t="s">
        <v>5</v>
      </c>
      <c r="H87" s="26" t="s">
        <v>891</v>
      </c>
      <c r="I87" s="27" t="s">
        <v>891</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892</v>
      </c>
      <c r="I88" s="27" t="s">
        <v>892</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892</v>
      </c>
      <c r="I93" s="27" t="s">
        <v>892</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892</v>
      </c>
      <c r="I96" s="27" t="s">
        <v>892</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891</v>
      </c>
      <c r="I99" s="27" t="s">
        <v>380</v>
      </c>
      <c r="J99" t="s">
        <v>302</v>
      </c>
    </row>
    <row r="100" spans="1:11" ht="14.4">
      <c r="A100" s="22" t="str">
        <f>F100&amp;(COUNTIFS(F$2:F100,F100,K$2:K100,"Sparse"))</f>
        <v>SD10</v>
      </c>
      <c r="B100" s="22" t="str">
        <f>J100&amp;(COUNTIF(J$2:J100,J100))</f>
        <v>Kent5</v>
      </c>
      <c r="C100" t="s">
        <v>890</v>
      </c>
      <c r="D100" t="s">
        <v>890</v>
      </c>
      <c r="E100" s="25" t="s">
        <v>0</v>
      </c>
      <c r="F100" s="25" t="s">
        <v>379</v>
      </c>
      <c r="G100" s="25" t="s">
        <v>5</v>
      </c>
      <c r="H100" s="26" t="s">
        <v>892</v>
      </c>
      <c r="I100" s="27" t="s">
        <v>892</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891</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892</v>
      </c>
      <c r="I106" s="27" t="s">
        <v>892</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892</v>
      </c>
      <c r="I109" s="27" t="s">
        <v>892</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892</v>
      </c>
      <c r="I115" s="27" t="s">
        <v>892</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891</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892</v>
      </c>
      <c r="I120" s="27" t="s">
        <v>892</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891</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891</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891</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891</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891</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891</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891</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892</v>
      </c>
      <c r="I140" s="27" t="s">
        <v>892</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891</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892</v>
      </c>
      <c r="I147" s="27" t="s">
        <v>892</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892</v>
      </c>
      <c r="I148" s="27" t="s">
        <v>892</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892</v>
      </c>
      <c r="I151" s="27" t="s">
        <v>892</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892</v>
      </c>
      <c r="I152" s="27" t="s">
        <v>892</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892</v>
      </c>
      <c r="I154" s="27" t="s">
        <v>892</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892</v>
      </c>
      <c r="I159" s="27" t="s">
        <v>892</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891</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891</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891</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891</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891</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892</v>
      </c>
      <c r="I172" s="27" t="s">
        <v>892</v>
      </c>
      <c r="J172" t="s">
        <v>329</v>
      </c>
    </row>
    <row r="173" spans="1:11" ht="14.4">
      <c r="A173" s="22" t="str">
        <f>F173&amp;(COUNTIFS(F$2:F173,F173,K$2:K173,"Sparse"))</f>
        <v>SD20</v>
      </c>
      <c r="B173" s="22" t="str">
        <f>J173&amp;(COUNTIF(J$2:J173,J173))</f>
        <v>Hampshire9</v>
      </c>
      <c r="C173" t="s">
        <v>106</v>
      </c>
      <c r="D173" t="s">
        <v>106</v>
      </c>
      <c r="E173" s="25" t="s">
        <v>0</v>
      </c>
      <c r="F173" s="25" t="s">
        <v>379</v>
      </c>
      <c r="G173" s="25" t="s">
        <v>5</v>
      </c>
      <c r="H173" s="26" t="s">
        <v>892</v>
      </c>
      <c r="I173" s="27" t="s">
        <v>892</v>
      </c>
      <c r="J173" s="3" t="s">
        <v>313</v>
      </c>
      <c r="K173" t="s">
        <v>335</v>
      </c>
    </row>
    <row r="174" spans="1:11" ht="14.4">
      <c r="A174" s="22" t="str">
        <f>F174&amp;(COUNTIFS(F$2:F174,F174,K$2:K174,"Sparse"))</f>
        <v>SD20</v>
      </c>
      <c r="B174" s="22" t="str">
        <f>J174&amp;(COUNTIF(J$2:J174,J174))</f>
        <v>Nottinghamshire6</v>
      </c>
      <c r="C174" t="s">
        <v>345</v>
      </c>
      <c r="D174" t="s">
        <v>345</v>
      </c>
      <c r="E174" s="25" t="s">
        <v>366</v>
      </c>
      <c r="F174" s="25" t="s">
        <v>379</v>
      </c>
      <c r="G174" s="25" t="s">
        <v>5</v>
      </c>
      <c r="H174" s="26" t="s">
        <v>891</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SD20</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SD21</v>
      </c>
      <c r="B179" s="22" t="str">
        <f>J179&amp;(COUNTIF(J$2:J179,J179))</f>
        <v>Devon5</v>
      </c>
      <c r="C179" t="s">
        <v>108</v>
      </c>
      <c r="D179" t="s">
        <v>108</v>
      </c>
      <c r="E179" s="25" t="s">
        <v>1</v>
      </c>
      <c r="F179" s="25" t="s">
        <v>379</v>
      </c>
      <c r="G179" s="25" t="s">
        <v>5</v>
      </c>
      <c r="H179" s="26" t="s">
        <v>891</v>
      </c>
      <c r="I179" s="27" t="s">
        <v>380</v>
      </c>
      <c r="J179" t="s">
        <v>308</v>
      </c>
      <c r="K179" t="s">
        <v>335</v>
      </c>
    </row>
    <row r="180" spans="1:11" ht="14.4">
      <c r="A180" s="22" t="str">
        <f>F180&amp;(COUNTIFS(F$2:F180,F180,K$2:K180,"Sparse"))</f>
        <v>SD21</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SD21</v>
      </c>
      <c r="B182" s="22" t="str">
        <f>J182&amp;(COUNTIF(J$2:J182,J182))</f>
        <v>Hertfordshire6</v>
      </c>
      <c r="C182" t="s">
        <v>111</v>
      </c>
      <c r="D182" t="s">
        <v>111</v>
      </c>
      <c r="E182" s="25" t="s">
        <v>368</v>
      </c>
      <c r="F182" s="25" t="s">
        <v>379</v>
      </c>
      <c r="G182" s="25" t="s">
        <v>5</v>
      </c>
      <c r="H182" s="26" t="s">
        <v>892</v>
      </c>
      <c r="I182" s="27" t="s">
        <v>892</v>
      </c>
      <c r="J182" t="s">
        <v>314</v>
      </c>
    </row>
    <row r="183" spans="1:11" ht="14.4">
      <c r="A183" s="22" t="str">
        <f>F183&amp;(COUNTIFS(F$2:F183,F183,K$2:K183,"Sparse"))</f>
        <v>SD22</v>
      </c>
      <c r="B183" s="22" t="str">
        <f>J183&amp;(COUNTIF(J$2:J183,J183))</f>
        <v>Lincolnshire5</v>
      </c>
      <c r="C183" t="s">
        <v>112</v>
      </c>
      <c r="D183" t="s">
        <v>112</v>
      </c>
      <c r="E183" s="25" t="s">
        <v>366</v>
      </c>
      <c r="F183" s="25" t="s">
        <v>379</v>
      </c>
      <c r="G183" s="25" t="s">
        <v>5</v>
      </c>
      <c r="H183" s="26" t="s">
        <v>891</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892</v>
      </c>
      <c r="I184" s="27" t="s">
        <v>892</v>
      </c>
      <c r="J184" s="3" t="s">
        <v>394</v>
      </c>
      <c r="K184" t="s">
        <v>335</v>
      </c>
    </row>
    <row r="185" spans="1:11" ht="14.4">
      <c r="A185" s="22" t="str">
        <f>F185&amp;(COUNTIFS(F$2:F185,F185,K$2:K185,"Sparse"))</f>
        <v>SD23</v>
      </c>
      <c r="B185" s="22" t="str">
        <f>J185&amp;(COUNTIF(J$2:J185,J185))</f>
        <v>Norfolk6</v>
      </c>
      <c r="C185" t="s">
        <v>113</v>
      </c>
      <c r="D185" t="s">
        <v>113</v>
      </c>
      <c r="E185" s="25" t="s">
        <v>368</v>
      </c>
      <c r="F185" s="25" t="s">
        <v>379</v>
      </c>
      <c r="G185" s="25" t="s">
        <v>5</v>
      </c>
      <c r="H185" s="26" t="s">
        <v>891</v>
      </c>
      <c r="I185" s="27" t="s">
        <v>380</v>
      </c>
      <c r="J185" t="s">
        <v>319</v>
      </c>
      <c r="K185" t="s">
        <v>335</v>
      </c>
    </row>
    <row r="186" spans="1:11" ht="14.4">
      <c r="A186" s="22" t="str">
        <f>F186&amp;(COUNTIFS(F$2:F186,F186,K$2:K186,"Sparse"))</f>
        <v>UA9</v>
      </c>
      <c r="B186" s="22" t="str">
        <f>J186&amp;(COUNTIF(J$2:J186,J186))</f>
        <v>Unitary33</v>
      </c>
      <c r="C186" t="s">
        <v>897</v>
      </c>
      <c r="D186" t="s">
        <v>897</v>
      </c>
      <c r="E186" s="25" t="s">
        <v>366</v>
      </c>
      <c r="F186" s="25" t="s">
        <v>385</v>
      </c>
      <c r="G186" s="25" t="s">
        <v>394</v>
      </c>
      <c r="H186" s="26" t="s">
        <v>892</v>
      </c>
      <c r="I186" s="27" t="s">
        <v>892</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892</v>
      </c>
      <c r="I187" s="27" t="s">
        <v>892</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SD23</v>
      </c>
      <c r="B189" s="22" t="str">
        <f>J189&amp;(COUNTIF(J$2:J189,J189))</f>
        <v>Warwickshire1</v>
      </c>
      <c r="C189" t="s">
        <v>114</v>
      </c>
      <c r="D189" t="s">
        <v>114</v>
      </c>
      <c r="E189" s="25" t="s">
        <v>367</v>
      </c>
      <c r="F189" s="25" t="s">
        <v>379</v>
      </c>
      <c r="G189" s="25" t="s">
        <v>5</v>
      </c>
      <c r="H189" s="26" t="s">
        <v>891</v>
      </c>
      <c r="I189" s="27" t="s">
        <v>380</v>
      </c>
      <c r="J189" s="3" t="s">
        <v>330</v>
      </c>
    </row>
    <row r="190" spans="1:11" ht="14.4">
      <c r="A190" s="22" t="str">
        <f>F190&amp;(COUNTIFS(F$2:F190,F190,K$2:K190,"Sparse"))</f>
        <v>SD23</v>
      </c>
      <c r="B190" s="22" t="str">
        <f>J190&amp;(COUNTIF(J$2:J190,J190))</f>
        <v>Leicestershire7</v>
      </c>
      <c r="C190" t="s">
        <v>115</v>
      </c>
      <c r="D190" t="s">
        <v>115</v>
      </c>
      <c r="E190" s="25" t="s">
        <v>366</v>
      </c>
      <c r="F190" s="25" t="s">
        <v>379</v>
      </c>
      <c r="G190" s="25" t="s">
        <v>5</v>
      </c>
      <c r="H190" s="26" t="s">
        <v>891</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891</v>
      </c>
      <c r="I192" s="27" t="s">
        <v>380</v>
      </c>
      <c r="J192" t="s">
        <v>394</v>
      </c>
      <c r="K192" t="s">
        <v>335</v>
      </c>
    </row>
    <row r="193" spans="1:11" ht="14.4">
      <c r="A193" s="22" t="str">
        <f>F193&amp;(COUNTIFS(F$2:F193,F193,K$2:K193,"Sparse"))</f>
        <v>SD23</v>
      </c>
      <c r="B193" s="22" t="str">
        <f>J193&amp;(COUNTIF(J$2:J193,J193))</f>
        <v>Norfolk7</v>
      </c>
      <c r="C193" s="27" t="s">
        <v>117</v>
      </c>
      <c r="D193" s="27" t="s">
        <v>117</v>
      </c>
      <c r="E193" s="25" t="s">
        <v>368</v>
      </c>
      <c r="F193" s="25" t="s">
        <v>379</v>
      </c>
      <c r="G193" s="25" t="s">
        <v>5</v>
      </c>
      <c r="H193" s="27" t="s">
        <v>382</v>
      </c>
      <c r="I193" s="27" t="s">
        <v>382</v>
      </c>
      <c r="J193" t="s">
        <v>319</v>
      </c>
    </row>
    <row r="194" spans="1:11"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1" ht="14.4">
      <c r="A195" s="22" t="str">
        <f>F195&amp;(COUNTIFS(F$2:F195,F195,K$2:K195,"Sparse"))</f>
        <v>SC6</v>
      </c>
      <c r="B195" s="22" t="str">
        <f>J195&amp;(COUNTIF(J$2:J195,J195))</f>
        <v>Nottinghamshire7</v>
      </c>
      <c r="C195" s="27" t="s">
        <v>323</v>
      </c>
      <c r="D195" s="27" t="s">
        <v>323</v>
      </c>
      <c r="E195" s="25" t="s">
        <v>366</v>
      </c>
      <c r="F195" s="25" t="s">
        <v>387</v>
      </c>
      <c r="G195" s="25" t="s">
        <v>301</v>
      </c>
      <c r="H195" s="27" t="s">
        <v>892</v>
      </c>
      <c r="I195" s="27" t="s">
        <v>892</v>
      </c>
      <c r="J195" t="s">
        <v>323</v>
      </c>
      <c r="K195" t="s">
        <v>335</v>
      </c>
    </row>
    <row r="196" spans="1:11" ht="14.4">
      <c r="A196" s="22" t="str">
        <f>F196&amp;(COUNTIFS(F$2:F196,F196,K$2:K196,"Sparse"))</f>
        <v>SD23</v>
      </c>
      <c r="B196" s="22" t="str">
        <f>J196&amp;(COUNTIF(J$2:J196,J196))</f>
        <v>Warwickshire2</v>
      </c>
      <c r="C196" t="s">
        <v>346</v>
      </c>
      <c r="D196" t="s">
        <v>346</v>
      </c>
      <c r="E196" s="25" t="s">
        <v>367</v>
      </c>
      <c r="F196" s="25" t="s">
        <v>379</v>
      </c>
      <c r="G196" s="25" t="s">
        <v>5</v>
      </c>
      <c r="H196" s="26" t="s">
        <v>382</v>
      </c>
      <c r="I196" s="27" t="s">
        <v>382</v>
      </c>
      <c r="J196" s="3" t="s">
        <v>330</v>
      </c>
    </row>
    <row r="197" spans="1:11" ht="14.4">
      <c r="A197" s="22" t="str">
        <f>F197&amp;(COUNTIFS(F$2:F197,F197,K$2:K197,"Sparse"))</f>
        <v>SD23</v>
      </c>
      <c r="B197" s="22" t="str">
        <f>J197&amp;(COUNTIF(J$2:J197,J197))</f>
        <v>Leicestershire8</v>
      </c>
      <c r="C197" t="s">
        <v>347</v>
      </c>
      <c r="D197" t="s">
        <v>347</v>
      </c>
      <c r="E197" s="25" t="s">
        <v>366</v>
      </c>
      <c r="F197" s="25" t="s">
        <v>379</v>
      </c>
      <c r="G197" s="25" t="s">
        <v>5</v>
      </c>
      <c r="H197" s="26" t="s">
        <v>382</v>
      </c>
      <c r="I197" s="27" t="s">
        <v>382</v>
      </c>
      <c r="J197" t="s">
        <v>317</v>
      </c>
    </row>
    <row r="198" spans="1:11"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1" ht="14.4">
      <c r="A199" s="22" t="str">
        <f>F199&amp;(COUNTIFS(F$2:F199,F199,K$2:K199,"Sparse"))</f>
        <v>SD23</v>
      </c>
      <c r="B199" s="22" t="str">
        <f>J199&amp;(COUNTIF(J$2:J199,J199))</f>
        <v>Oxfordshire2</v>
      </c>
      <c r="C199" s="27" t="s">
        <v>118</v>
      </c>
      <c r="D199" s="27" t="s">
        <v>118</v>
      </c>
      <c r="E199" s="25" t="s">
        <v>0</v>
      </c>
      <c r="F199" s="25" t="s">
        <v>379</v>
      </c>
      <c r="G199" s="25" t="s">
        <v>5</v>
      </c>
      <c r="H199" s="27" t="s">
        <v>382</v>
      </c>
      <c r="I199" s="27" t="s">
        <v>382</v>
      </c>
      <c r="J199" t="s">
        <v>324</v>
      </c>
    </row>
    <row r="200" spans="1:11" ht="14.4">
      <c r="A200" s="22" t="str">
        <f>F200&amp;(COUNTIFS(F$2:F200,F200,K$2:K200,"Sparse"))</f>
        <v>SC6</v>
      </c>
      <c r="B200" s="22" t="str">
        <f>J200&amp;(COUNTIF(J$2:J200,J200))</f>
        <v>Oxfordshire3</v>
      </c>
      <c r="C200" t="s">
        <v>324</v>
      </c>
      <c r="D200" t="s">
        <v>324</v>
      </c>
      <c r="E200" s="25" t="s">
        <v>0</v>
      </c>
      <c r="F200" s="25" t="s">
        <v>387</v>
      </c>
      <c r="G200" s="25" t="s">
        <v>301</v>
      </c>
      <c r="H200" s="26" t="s">
        <v>380</v>
      </c>
      <c r="I200" s="27" t="s">
        <v>380</v>
      </c>
      <c r="J200" t="s">
        <v>324</v>
      </c>
    </row>
    <row r="201" spans="1:11" ht="14.4">
      <c r="A201" s="22" t="str">
        <f>F201&amp;(COUNTIFS(F$2:F201,F201,K$2:K201,"Sparse"))</f>
        <v>SD23</v>
      </c>
      <c r="B201" s="22" t="str">
        <f>J201&amp;(COUNTIF(J$2:J201,J201))</f>
        <v>Lancashire7</v>
      </c>
      <c r="C201" t="s">
        <v>119</v>
      </c>
      <c r="D201" t="s">
        <v>119</v>
      </c>
      <c r="E201" s="25" t="s">
        <v>374</v>
      </c>
      <c r="F201" s="25" t="s">
        <v>379</v>
      </c>
      <c r="G201" s="25" t="s">
        <v>5</v>
      </c>
      <c r="H201" s="26" t="s">
        <v>382</v>
      </c>
      <c r="I201" s="27" t="s">
        <v>382</v>
      </c>
      <c r="J201" t="s">
        <v>316</v>
      </c>
    </row>
    <row r="202" spans="1:11"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1"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1"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1" ht="14.4">
      <c r="A205" s="22" t="str">
        <f>F205&amp;(COUNTIFS(F$2:F205,F205,K$2:K205,"Sparse"))</f>
        <v>SD23</v>
      </c>
      <c r="B205" s="22" t="str">
        <f>J205&amp;(COUNTIF(J$2:J205,J205))</f>
        <v>Lancashire8</v>
      </c>
      <c r="C205" t="s">
        <v>120</v>
      </c>
      <c r="D205" t="s">
        <v>120</v>
      </c>
      <c r="E205" s="25" t="s">
        <v>374</v>
      </c>
      <c r="F205" s="25" t="s">
        <v>379</v>
      </c>
      <c r="G205" s="25" t="s">
        <v>5</v>
      </c>
      <c r="H205" s="26" t="s">
        <v>382</v>
      </c>
      <c r="I205" s="27" t="s">
        <v>382</v>
      </c>
      <c r="J205" t="s">
        <v>316</v>
      </c>
    </row>
    <row r="206" spans="1:11"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1"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1" ht="14.4">
      <c r="A208" s="22" t="str">
        <f>F208&amp;(COUNTIFS(F$2:F208,F208,K$2:K208,"Sparse"))</f>
        <v>UA12</v>
      </c>
      <c r="B208" s="22" t="str">
        <f>J208&amp;(COUNTIF(J$2:J208,J208))</f>
        <v>Unitary42</v>
      </c>
      <c r="C208" t="s">
        <v>808</v>
      </c>
      <c r="D208" t="s">
        <v>808</v>
      </c>
      <c r="E208" s="25" t="s">
        <v>388</v>
      </c>
      <c r="F208" s="25" t="s">
        <v>385</v>
      </c>
      <c r="G208" s="25" t="s">
        <v>394</v>
      </c>
      <c r="H208" s="26" t="s">
        <v>892</v>
      </c>
      <c r="I208" s="27" t="s">
        <v>892</v>
      </c>
      <c r="J208" s="3" t="s">
        <v>394</v>
      </c>
    </row>
    <row r="209" spans="1:11" ht="14.4">
      <c r="A209" s="22" t="str">
        <f>F209&amp;(COUNTIFS(F$2:F209,F209,K$2:K209,"Sparse"))</f>
        <v>SD23</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SD23</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SD24</v>
      </c>
      <c r="B211" s="22" t="str">
        <f>J211&amp;(COUNTIF(J$2:J211,J211))</f>
        <v>Lancashire9</v>
      </c>
      <c r="C211" t="s">
        <v>123</v>
      </c>
      <c r="D211" t="s">
        <v>123</v>
      </c>
      <c r="E211" s="25" t="s">
        <v>374</v>
      </c>
      <c r="F211" s="25" t="s">
        <v>379</v>
      </c>
      <c r="G211" s="25" t="s">
        <v>5</v>
      </c>
      <c r="H211" s="26" t="s">
        <v>891</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SD24</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SD24</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SD25</v>
      </c>
      <c r="B216" s="22" t="str">
        <f>J216&amp;(COUNTIF(J$2:J216,J216))</f>
        <v>East Sussex5</v>
      </c>
      <c r="C216" t="s">
        <v>127</v>
      </c>
      <c r="D216" t="s">
        <v>127</v>
      </c>
      <c r="E216" s="25" t="s">
        <v>0</v>
      </c>
      <c r="F216" s="25" t="s">
        <v>379</v>
      </c>
      <c r="G216" s="25" t="s">
        <v>5</v>
      </c>
      <c r="H216" s="26" t="s">
        <v>891</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SD26</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SD26</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SD26</v>
      </c>
      <c r="B220" s="22" t="str">
        <f>J220&amp;(COUNTIF(J$2:J220,J220))</f>
        <v>Nottinghamshire8</v>
      </c>
      <c r="C220" t="s">
        <v>130</v>
      </c>
      <c r="D220" t="s">
        <v>130</v>
      </c>
      <c r="E220" s="25" t="s">
        <v>366</v>
      </c>
      <c r="F220" s="25" t="s">
        <v>379</v>
      </c>
      <c r="G220" s="25" t="s">
        <v>5</v>
      </c>
      <c r="H220" s="26" t="s">
        <v>891</v>
      </c>
      <c r="I220" s="27" t="s">
        <v>380</v>
      </c>
      <c r="J220" t="s">
        <v>323</v>
      </c>
    </row>
    <row r="221" spans="1:11" ht="14.4">
      <c r="A221" s="22" t="str">
        <f>F221&amp;(COUNTIFS(F$2:F221,F221,K$2:K221,"Sparse"))</f>
        <v>SD26</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891</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SD26</v>
      </c>
      <c r="B226" s="22" t="str">
        <f>J226&amp;(COUNTIF(J$2:J226,J226))</f>
        <v>Kent9</v>
      </c>
      <c r="C226" t="s">
        <v>136</v>
      </c>
      <c r="D226" t="s">
        <v>136</v>
      </c>
      <c r="E226" s="25" t="s">
        <v>0</v>
      </c>
      <c r="F226" s="25" t="s">
        <v>379</v>
      </c>
      <c r="G226" s="25" t="s">
        <v>5</v>
      </c>
      <c r="H226" s="26" t="s">
        <v>891</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891</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SD27</v>
      </c>
      <c r="B232" s="22" t="str">
        <f>J232&amp;(COUNTIF(J$2:J232,J232))</f>
        <v>Cambridgeshire6</v>
      </c>
      <c r="C232" t="s">
        <v>138</v>
      </c>
      <c r="D232" t="s">
        <v>138</v>
      </c>
      <c r="E232" s="25" t="s">
        <v>368</v>
      </c>
      <c r="F232" s="25" t="s">
        <v>379</v>
      </c>
      <c r="G232" s="25" t="s">
        <v>5</v>
      </c>
      <c r="H232" s="26" t="s">
        <v>891</v>
      </c>
      <c r="I232" s="27" t="s">
        <v>380</v>
      </c>
      <c r="J232" s="3" t="s">
        <v>302</v>
      </c>
      <c r="K232" t="s">
        <v>335</v>
      </c>
    </row>
    <row r="233" spans="1:11" ht="14.4">
      <c r="A233" s="22" t="str">
        <f>F233&amp;(COUNTIFS(F$2:F233,F233,K$2:K233,"Sparse"))</f>
        <v>SD27</v>
      </c>
      <c r="B233" s="22" t="str">
        <f>J233&amp;(COUNTIF(J$2:J233,J233))</f>
        <v>Derbyshire9</v>
      </c>
      <c r="C233" t="s">
        <v>139</v>
      </c>
      <c r="D233" t="s">
        <v>139</v>
      </c>
      <c r="E233" s="25" t="s">
        <v>366</v>
      </c>
      <c r="F233" s="25" t="s">
        <v>379</v>
      </c>
      <c r="G233" s="25" t="s">
        <v>5</v>
      </c>
      <c r="H233" s="26" t="s">
        <v>892</v>
      </c>
      <c r="I233" s="27" t="s">
        <v>892</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SD28</v>
      </c>
      <c r="B235" s="22" t="str">
        <f>J235&amp;(COUNTIF(J$2:J235,J235))</f>
        <v>Devon6</v>
      </c>
      <c r="C235" s="27" t="s">
        <v>140</v>
      </c>
      <c r="D235" s="27" t="s">
        <v>140</v>
      </c>
      <c r="E235" s="25" t="s">
        <v>1</v>
      </c>
      <c r="F235" s="25" t="s">
        <v>379</v>
      </c>
      <c r="G235" s="25" t="s">
        <v>5</v>
      </c>
      <c r="H235" s="27" t="s">
        <v>891</v>
      </c>
      <c r="I235" s="27" t="s">
        <v>380</v>
      </c>
      <c r="J235" t="s">
        <v>308</v>
      </c>
      <c r="K235" t="s">
        <v>335</v>
      </c>
    </row>
    <row r="236" spans="1:11" ht="14.4">
      <c r="A236" s="22" t="str">
        <f>F236&amp;(COUNTIFS(F$2:F236,F236,K$2:K236,"Sparse"))</f>
        <v>SD29</v>
      </c>
      <c r="B236" s="22" t="str">
        <f>J236&amp;(COUNTIF(J$2:J236,J236))</f>
        <v>Lincolnshire6</v>
      </c>
      <c r="C236" t="s">
        <v>141</v>
      </c>
      <c r="D236" t="s">
        <v>141</v>
      </c>
      <c r="E236" s="25" t="s">
        <v>366</v>
      </c>
      <c r="F236" s="25" t="s">
        <v>379</v>
      </c>
      <c r="G236" s="25" t="s">
        <v>5</v>
      </c>
      <c r="H236" s="26" t="s">
        <v>891</v>
      </c>
      <c r="I236" s="27" t="s">
        <v>380</v>
      </c>
      <c r="J236" t="s">
        <v>318</v>
      </c>
      <c r="K236" t="s">
        <v>335</v>
      </c>
    </row>
    <row r="237" spans="1:11" ht="14.4">
      <c r="A237" s="22" t="str">
        <f>F237&amp;(COUNTIFS(F$2:F237,F237,K$2:K237,"Sparse"))</f>
        <v>SD30</v>
      </c>
      <c r="B237" s="22" t="str">
        <f>J237&amp;(COUNTIF(J$2:J237,J237))</f>
        <v>Lincolnshire7</v>
      </c>
      <c r="C237" t="s">
        <v>142</v>
      </c>
      <c r="D237" t="s">
        <v>142</v>
      </c>
      <c r="E237" s="25" t="s">
        <v>366</v>
      </c>
      <c r="F237" s="25" t="s">
        <v>379</v>
      </c>
      <c r="G237" s="25" t="s">
        <v>5</v>
      </c>
      <c r="H237" s="26" t="s">
        <v>891</v>
      </c>
      <c r="I237" s="27" t="s">
        <v>380</v>
      </c>
      <c r="J237" t="s">
        <v>318</v>
      </c>
      <c r="K237" t="s">
        <v>335</v>
      </c>
    </row>
    <row r="238" spans="1:11" ht="14.4">
      <c r="A238" s="22" t="str">
        <f>F238&amp;(COUNTIFS(F$2:F238,F238,K$2:K238,"Sparse"))</f>
        <v>SD31</v>
      </c>
      <c r="B238" s="22" t="str">
        <f>J238&amp;(COUNTIF(J$2:J238,J238))</f>
        <v>Norfolk8</v>
      </c>
      <c r="C238" t="s">
        <v>144</v>
      </c>
      <c r="D238" t="s">
        <v>144</v>
      </c>
      <c r="E238" s="25" t="s">
        <v>368</v>
      </c>
      <c r="F238" s="25" t="s">
        <v>379</v>
      </c>
      <c r="G238" s="25" t="s">
        <v>5</v>
      </c>
      <c r="H238" s="26" t="s">
        <v>891</v>
      </c>
      <c r="I238" s="27" t="s">
        <v>380</v>
      </c>
      <c r="J238" s="3" t="s">
        <v>319</v>
      </c>
      <c r="K238" t="s">
        <v>335</v>
      </c>
    </row>
    <row r="239" spans="1:11" ht="14.4">
      <c r="A239" s="22" t="str">
        <f>F239&amp;(COUNTIFS(F$2:F239,F239,K$2:K239,"Sparse"))</f>
        <v>SD32</v>
      </c>
      <c r="B239" s="22" t="str">
        <f>J239&amp;(COUNTIF(J$2:J239,J239))</f>
        <v>Oxfordshire4</v>
      </c>
      <c r="C239" t="s">
        <v>146</v>
      </c>
      <c r="D239" t="s">
        <v>146</v>
      </c>
      <c r="E239" s="25" t="s">
        <v>0</v>
      </c>
      <c r="F239" s="25" t="s">
        <v>379</v>
      </c>
      <c r="G239" s="25" t="s">
        <v>5</v>
      </c>
      <c r="H239" s="26" t="s">
        <v>891</v>
      </c>
      <c r="I239" s="27" t="s">
        <v>380</v>
      </c>
      <c r="J239" t="s">
        <v>324</v>
      </c>
      <c r="K239" t="s">
        <v>335</v>
      </c>
    </row>
    <row r="240" spans="1:11" ht="14.4">
      <c r="A240" s="22" t="str">
        <f>F240&amp;(COUNTIFS(F$2:F240,F240,K$2:K240,"Sparse"))</f>
        <v>SD32</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SD32</v>
      </c>
      <c r="B241" s="22" t="str">
        <f>J241&amp;(COUNTIF(J$2:J241,J241))</f>
        <v>Staffordshire5</v>
      </c>
      <c r="C241" t="s">
        <v>149</v>
      </c>
      <c r="D241" t="s">
        <v>149</v>
      </c>
      <c r="E241" s="25" t="s">
        <v>367</v>
      </c>
      <c r="F241" s="25" t="s">
        <v>379</v>
      </c>
      <c r="G241" s="25" t="s">
        <v>5</v>
      </c>
      <c r="H241" s="26" t="s">
        <v>892</v>
      </c>
      <c r="I241" s="27" t="s">
        <v>892</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SD32</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SD32</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SD33</v>
      </c>
      <c r="B249" s="22" t="str">
        <f>J249&amp;(COUNTIF(J$2:J249,J249))</f>
        <v>Staffordshire6</v>
      </c>
      <c r="C249" t="s">
        <v>153</v>
      </c>
      <c r="D249" t="s">
        <v>153</v>
      </c>
      <c r="E249" s="25" t="s">
        <v>367</v>
      </c>
      <c r="F249" s="25" t="s">
        <v>379</v>
      </c>
      <c r="G249" s="25" t="s">
        <v>5</v>
      </c>
      <c r="H249" s="26" t="s">
        <v>892</v>
      </c>
      <c r="I249" s="27" t="s">
        <v>892</v>
      </c>
      <c r="J249" s="3" t="s">
        <v>327</v>
      </c>
      <c r="K249" t="s">
        <v>335</v>
      </c>
    </row>
    <row r="250" spans="1:11" ht="14.4">
      <c r="A250" s="22" t="str">
        <f>F250&amp;(COUNTIFS(F$2:F250,F250,K$2:K250,"Sparse"))</f>
        <v>SC7</v>
      </c>
      <c r="B250" s="22" t="str">
        <f>J250&amp;(COUNTIF(J$2:J250,J250))</f>
        <v>Staffordshire7</v>
      </c>
      <c r="C250" t="s">
        <v>327</v>
      </c>
      <c r="D250" t="s">
        <v>327</v>
      </c>
      <c r="E250" s="25" t="s">
        <v>367</v>
      </c>
      <c r="F250" s="25" t="s">
        <v>387</v>
      </c>
      <c r="G250" s="25" t="s">
        <v>301</v>
      </c>
      <c r="H250" s="26" t="s">
        <v>892</v>
      </c>
      <c r="I250" s="27" t="s">
        <v>892</v>
      </c>
      <c r="J250" s="3" t="s">
        <v>327</v>
      </c>
      <c r="K250" t="s">
        <v>335</v>
      </c>
    </row>
    <row r="251" spans="1:11" ht="14.4">
      <c r="A251" s="22" t="str">
        <f>F251&amp;(COUNTIFS(F$2:F251,F251,K$2:K251,"Sparse"))</f>
        <v>SD33</v>
      </c>
      <c r="B251" s="22" t="str">
        <f>J251&amp;(COUNTIF(J$2:J251,J251))</f>
        <v>Staffordshire8</v>
      </c>
      <c r="C251" t="s">
        <v>154</v>
      </c>
      <c r="D251" t="s">
        <v>154</v>
      </c>
      <c r="E251" s="25" t="s">
        <v>367</v>
      </c>
      <c r="F251" s="25" t="s">
        <v>379</v>
      </c>
      <c r="G251" s="25" t="s">
        <v>5</v>
      </c>
      <c r="H251" s="26" t="s">
        <v>891</v>
      </c>
      <c r="I251" s="27" t="s">
        <v>380</v>
      </c>
      <c r="J251" t="s">
        <v>327</v>
      </c>
    </row>
    <row r="252" spans="1:11" ht="14.4">
      <c r="A252" s="22" t="str">
        <f>F252&amp;(COUNTIFS(F$2:F252,F252,K$2:K252,"Sparse"))</f>
        <v>SD33</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SD34</v>
      </c>
      <c r="B256" s="22" t="str">
        <f>J256&amp;(COUNTIF(J$2:J256,J256))</f>
        <v>Warwickshire4</v>
      </c>
      <c r="C256" s="27" t="s">
        <v>156</v>
      </c>
      <c r="D256" s="27" t="s">
        <v>156</v>
      </c>
      <c r="E256" s="25" t="s">
        <v>367</v>
      </c>
      <c r="F256" s="25" t="s">
        <v>379</v>
      </c>
      <c r="G256" s="25" t="s">
        <v>5</v>
      </c>
      <c r="H256" s="27" t="s">
        <v>891</v>
      </c>
      <c r="I256" s="27" t="s">
        <v>380</v>
      </c>
      <c r="J256" t="s">
        <v>330</v>
      </c>
      <c r="K256" t="s">
        <v>335</v>
      </c>
    </row>
    <row r="257" spans="1:11" ht="14.4">
      <c r="A257" s="22" t="str">
        <f>F257&amp;(COUNTIFS(F$2:F257,F257,K$2:K257,"Sparse"))</f>
        <v>SD35</v>
      </c>
      <c r="B257" s="22" t="str">
        <f>J257&amp;(COUNTIF(J$2:J257,J257))</f>
        <v>Gloucestershire6</v>
      </c>
      <c r="C257" t="s">
        <v>157</v>
      </c>
      <c r="D257" t="s">
        <v>157</v>
      </c>
      <c r="E257" s="25" t="s">
        <v>1</v>
      </c>
      <c r="F257" s="25" t="s">
        <v>379</v>
      </c>
      <c r="G257" s="25" t="s">
        <v>5</v>
      </c>
      <c r="H257" s="26" t="s">
        <v>892</v>
      </c>
      <c r="I257" s="27" t="s">
        <v>892</v>
      </c>
      <c r="J257" t="s">
        <v>312</v>
      </c>
      <c r="K257" t="s">
        <v>335</v>
      </c>
    </row>
    <row r="258" spans="1:11" ht="14.4">
      <c r="A258" s="22" t="str">
        <f>F258&amp;(COUNTIFS(F$2:F258,F258,K$2:K258,"Sparse"))</f>
        <v>SC8</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SC8</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SD35</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SD35</v>
      </c>
      <c r="B263" s="22" t="str">
        <f>J263&amp;(COUNTIF(J$2:J263,J263))</f>
        <v>Kent10</v>
      </c>
      <c r="C263" t="s">
        <v>160</v>
      </c>
      <c r="D263" t="s">
        <v>160</v>
      </c>
      <c r="E263" s="25" t="s">
        <v>0</v>
      </c>
      <c r="F263" s="25" t="s">
        <v>379</v>
      </c>
      <c r="G263" s="25" t="s">
        <v>5</v>
      </c>
      <c r="H263" s="26" t="s">
        <v>891</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SD35</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SD35</v>
      </c>
      <c r="B267" s="22" t="str">
        <f>J267&amp;(COUNTIF(J$2:J267,J267))</f>
        <v>Surrey10</v>
      </c>
      <c r="C267" t="s">
        <v>162</v>
      </c>
      <c r="D267" t="s">
        <v>162</v>
      </c>
      <c r="E267" s="25" t="s">
        <v>0</v>
      </c>
      <c r="F267" s="25" t="s">
        <v>379</v>
      </c>
      <c r="G267" s="25" t="s">
        <v>5</v>
      </c>
      <c r="H267" s="26" t="s">
        <v>892</v>
      </c>
      <c r="I267" s="27" t="s">
        <v>892</v>
      </c>
      <c r="J267" t="s">
        <v>329</v>
      </c>
    </row>
    <row r="268" spans="1:11" ht="14.4">
      <c r="A268" s="22" t="str">
        <f>F268&amp;(COUNTIFS(F$2:F268,F268,K$2:K268,"Sparse"))</f>
        <v>SD36</v>
      </c>
      <c r="B268" s="22" t="str">
        <f>J268&amp;(COUNTIF(J$2:J268,J268))</f>
        <v>Devon7</v>
      </c>
      <c r="C268" t="s">
        <v>164</v>
      </c>
      <c r="D268" t="s">
        <v>164</v>
      </c>
      <c r="E268" s="25" t="s">
        <v>1</v>
      </c>
      <c r="F268" s="25" t="s">
        <v>379</v>
      </c>
      <c r="G268" s="25" t="s">
        <v>5</v>
      </c>
      <c r="H268" s="26" t="s">
        <v>891</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SD36</v>
      </c>
      <c r="B270" s="22" t="str">
        <f>J270&amp;(COUNTIF(J$2:J270,J270))</f>
        <v>Essex12</v>
      </c>
      <c r="C270" t="s">
        <v>165</v>
      </c>
      <c r="D270" t="s">
        <v>165</v>
      </c>
      <c r="E270" s="25" t="s">
        <v>368</v>
      </c>
      <c r="F270" s="25" t="s">
        <v>379</v>
      </c>
      <c r="G270" s="25" t="s">
        <v>5</v>
      </c>
      <c r="H270" s="26" t="s">
        <v>891</v>
      </c>
      <c r="I270" s="27" t="s">
        <v>380</v>
      </c>
      <c r="J270" s="3" t="s">
        <v>311</v>
      </c>
    </row>
    <row r="271" spans="1:11" ht="14.4">
      <c r="A271" s="22" t="str">
        <f>F271&amp;(COUNTIFS(F$2:F271,F271,K$2:K271,"Sparse"))</f>
        <v>SD36</v>
      </c>
      <c r="B271" s="22" t="str">
        <f>J271&amp;(COUNTIF(J$2:J271,J271))</f>
        <v>Hampshire11</v>
      </c>
      <c r="C271" t="s">
        <v>166</v>
      </c>
      <c r="D271" t="s">
        <v>166</v>
      </c>
      <c r="E271" s="25" t="s">
        <v>0</v>
      </c>
      <c r="F271" s="25" t="s">
        <v>379</v>
      </c>
      <c r="G271" s="25" t="s">
        <v>5</v>
      </c>
      <c r="H271" s="26" t="s">
        <v>892</v>
      </c>
      <c r="I271" s="27" t="s">
        <v>892</v>
      </c>
      <c r="J271" t="s">
        <v>313</v>
      </c>
    </row>
    <row r="272" spans="1:11" ht="14.4">
      <c r="A272" s="22" t="str">
        <f>F272&amp;(COUNTIFS(F$2:F272,F272,K$2:K272,"Sparse"))</f>
        <v>SD37</v>
      </c>
      <c r="B272" s="22" t="str">
        <f>J272&amp;(COUNTIF(J$2:J272,J272))</f>
        <v>Gloucestershire7</v>
      </c>
      <c r="C272" t="s">
        <v>167</v>
      </c>
      <c r="D272" t="s">
        <v>167</v>
      </c>
      <c r="E272" s="25" t="s">
        <v>1</v>
      </c>
      <c r="F272" s="25" t="s">
        <v>379</v>
      </c>
      <c r="G272" s="25" t="s">
        <v>5</v>
      </c>
      <c r="H272" s="26" t="s">
        <v>891</v>
      </c>
      <c r="I272" s="27" t="s">
        <v>380</v>
      </c>
      <c r="J272" t="s">
        <v>312</v>
      </c>
      <c r="K272" t="s">
        <v>335</v>
      </c>
    </row>
    <row r="273" spans="1:11" ht="14.4">
      <c r="A273" s="22" t="str">
        <f>F273&amp;(COUNTIFS(F$2:F273,F273,K$2:K273,"Sparse"))</f>
        <v>SD37</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SD37</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SD37</v>
      </c>
      <c r="B276" s="22" t="str">
        <f>J276&amp;(COUNTIF(J$2:J276,J276))</f>
        <v>Kent12</v>
      </c>
      <c r="C276" t="s">
        <v>349</v>
      </c>
      <c r="D276" t="s">
        <v>349</v>
      </c>
      <c r="E276" s="25" t="s">
        <v>0</v>
      </c>
      <c r="F276" s="25" t="s">
        <v>379</v>
      </c>
      <c r="G276" s="25" t="s">
        <v>5</v>
      </c>
      <c r="H276" s="26" t="s">
        <v>892</v>
      </c>
      <c r="I276" s="27" t="s">
        <v>892</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SD38</v>
      </c>
      <c r="B278" s="22" t="str">
        <f>J278&amp;(COUNTIF(J$2:J278,J278))</f>
        <v>Devon8</v>
      </c>
      <c r="C278" t="s">
        <v>170</v>
      </c>
      <c r="D278" t="s">
        <v>170</v>
      </c>
      <c r="E278" s="25" t="s">
        <v>1</v>
      </c>
      <c r="F278" s="25" t="s">
        <v>379</v>
      </c>
      <c r="G278" s="25" t="s">
        <v>5</v>
      </c>
      <c r="H278" s="26" t="s">
        <v>891</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SD38</v>
      </c>
      <c r="B281" s="22" t="str">
        <f>J281&amp;(COUNTIF(J$2:J281,J281))</f>
        <v>Kent13</v>
      </c>
      <c r="C281" t="s">
        <v>171</v>
      </c>
      <c r="D281" t="s">
        <v>171</v>
      </c>
      <c r="E281" s="25" t="s">
        <v>0</v>
      </c>
      <c r="F281" s="25" t="s">
        <v>379</v>
      </c>
      <c r="G281" s="25" t="s">
        <v>5</v>
      </c>
      <c r="H281" s="26" t="s">
        <v>892</v>
      </c>
      <c r="I281" s="27" t="s">
        <v>892</v>
      </c>
      <c r="J281" s="3" t="s">
        <v>315</v>
      </c>
    </row>
    <row r="282" spans="1:11" ht="14.4">
      <c r="A282" s="22" t="str">
        <f>F282&amp;(COUNTIFS(F$2:F282,F282,K$2:K282,"Sparse"))</f>
        <v>SD39</v>
      </c>
      <c r="B282" s="22" t="str">
        <f>J282&amp;(COUNTIF(J$2:J282,J282))</f>
        <v>Essex13</v>
      </c>
      <c r="C282" t="s">
        <v>172</v>
      </c>
      <c r="D282" t="s">
        <v>172</v>
      </c>
      <c r="E282" s="25" t="s">
        <v>368</v>
      </c>
      <c r="F282" s="25" t="s">
        <v>379</v>
      </c>
      <c r="G282" s="25" t="s">
        <v>5</v>
      </c>
      <c r="H282" s="26" t="s">
        <v>891</v>
      </c>
      <c r="I282" s="27" t="s">
        <v>380</v>
      </c>
      <c r="J282" t="s">
        <v>311</v>
      </c>
      <c r="K282" t="s">
        <v>335</v>
      </c>
    </row>
    <row r="283" spans="1:11" ht="14.4">
      <c r="A283" s="22" t="str">
        <f>F283&amp;(COUNTIFS(F$2:F283,F283,K$2:K283,"Sparse"))</f>
        <v>SD40</v>
      </c>
      <c r="B283" s="22" t="str">
        <f>J283&amp;(COUNTIF(J$2:J283,J283))</f>
        <v>Oxfordshire5</v>
      </c>
      <c r="C283" t="s">
        <v>173</v>
      </c>
      <c r="D283" t="s">
        <v>173</v>
      </c>
      <c r="E283" s="25" t="s">
        <v>0</v>
      </c>
      <c r="F283" s="25" t="s">
        <v>379</v>
      </c>
      <c r="G283" s="25" t="s">
        <v>5</v>
      </c>
      <c r="H283" s="26" t="s">
        <v>891</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SD40</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SC8</v>
      </c>
      <c r="B290" s="22" t="str">
        <f>J290&amp;(COUNTIF(J$2:J290,J290))</f>
        <v>Warwickshire6</v>
      </c>
      <c r="C290" t="s">
        <v>330</v>
      </c>
      <c r="D290" t="s">
        <v>330</v>
      </c>
      <c r="E290" s="25" t="s">
        <v>367</v>
      </c>
      <c r="F290" s="25" t="s">
        <v>387</v>
      </c>
      <c r="G290" s="25" t="s">
        <v>301</v>
      </c>
      <c r="H290" s="26" t="s">
        <v>892</v>
      </c>
      <c r="I290" s="27" t="s">
        <v>892</v>
      </c>
      <c r="J290" t="s">
        <v>330</v>
      </c>
    </row>
    <row r="291" spans="1:11" ht="14.4">
      <c r="A291" s="22" t="str">
        <f>F291&amp;(COUNTIFS(F$2:F291,F291,K$2:K291,"Sparse"))</f>
        <v>SD40</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SD40</v>
      </c>
      <c r="B292" s="22" t="str">
        <f>J292&amp;(COUNTIF(J$2:J292,J292))</f>
        <v>Surrey11</v>
      </c>
      <c r="C292" t="s">
        <v>177</v>
      </c>
      <c r="D292" t="s">
        <v>177</v>
      </c>
      <c r="E292" s="25" t="s">
        <v>0</v>
      </c>
      <c r="F292" s="25" t="s">
        <v>379</v>
      </c>
      <c r="G292" s="25" t="s">
        <v>5</v>
      </c>
      <c r="H292" s="26" t="s">
        <v>891</v>
      </c>
      <c r="I292" s="27" t="s">
        <v>380</v>
      </c>
      <c r="J292" t="s">
        <v>329</v>
      </c>
    </row>
    <row r="293" spans="1:11" ht="14.4">
      <c r="A293" s="22" t="str">
        <f>F293&amp;(COUNTIFS(F$2:F293,F293,K$2:K293,"Sparse"))</f>
        <v>SD41</v>
      </c>
      <c r="B293" s="22" t="str">
        <f>J293&amp;(COUNTIF(J$2:J293,J293))</f>
        <v>East Sussex6</v>
      </c>
      <c r="C293" t="s">
        <v>178</v>
      </c>
      <c r="D293" t="s">
        <v>178</v>
      </c>
      <c r="E293" s="25" t="s">
        <v>0</v>
      </c>
      <c r="F293" s="25" t="s">
        <v>379</v>
      </c>
      <c r="G293" s="25" t="s">
        <v>5</v>
      </c>
      <c r="H293" s="26" t="s">
        <v>891</v>
      </c>
      <c r="I293" s="27" t="s">
        <v>380</v>
      </c>
      <c r="J293" t="s">
        <v>310</v>
      </c>
      <c r="K293" t="s">
        <v>335</v>
      </c>
    </row>
    <row r="294" spans="1:11" ht="14.4">
      <c r="A294" s="22" t="str">
        <f>F294&amp;(COUNTIFS(F$2:F294,F294,K$2:K294,"Sparse"))</f>
        <v>SD41</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892</v>
      </c>
      <c r="I295" s="27" t="s">
        <v>892</v>
      </c>
      <c r="J295" t="s">
        <v>394</v>
      </c>
    </row>
    <row r="296" spans="1:11" ht="14.4">
      <c r="A296" s="22" t="str">
        <f>F296&amp;(COUNTIFS(F$2:F296,F296,K$2:K296,"Sparse"))</f>
        <v>SD42</v>
      </c>
      <c r="B296" s="22" t="str">
        <f>J296&amp;(COUNTIF(J$2:J296,J296))</f>
        <v>Devon9</v>
      </c>
      <c r="C296" s="27" t="s">
        <v>181</v>
      </c>
      <c r="D296" s="27" t="s">
        <v>181</v>
      </c>
      <c r="E296" s="25" t="s">
        <v>1</v>
      </c>
      <c r="F296" s="25" t="s">
        <v>379</v>
      </c>
      <c r="G296" s="25" t="s">
        <v>5</v>
      </c>
      <c r="H296" s="27" t="s">
        <v>891</v>
      </c>
      <c r="I296" s="27" t="s">
        <v>380</v>
      </c>
      <c r="J296" t="s">
        <v>308</v>
      </c>
      <c r="K296" t="s">
        <v>335</v>
      </c>
    </row>
    <row r="297" spans="1:11" ht="14.4">
      <c r="A297" s="22" t="str">
        <f>F297&amp;(COUNTIFS(F$2:F297,F297,K$2:K297,"Sparse"))</f>
        <v>SD42</v>
      </c>
      <c r="B297" s="22" t="str">
        <f>J297&amp;(COUNTIF(J$2:J297,J297))</f>
        <v>Lancashire12</v>
      </c>
      <c r="C297" t="s">
        <v>183</v>
      </c>
      <c r="D297" t="s">
        <v>183</v>
      </c>
      <c r="E297" s="25" t="s">
        <v>374</v>
      </c>
      <c r="F297" s="25" t="s">
        <v>379</v>
      </c>
      <c r="G297" s="25" t="s">
        <v>5</v>
      </c>
      <c r="H297" s="26" t="s">
        <v>892</v>
      </c>
      <c r="I297" s="27" t="s">
        <v>892</v>
      </c>
      <c r="J297" t="s">
        <v>316</v>
      </c>
    </row>
    <row r="298" spans="1:11" ht="14.4">
      <c r="A298" s="22" t="str">
        <f>F298&amp;(COUNTIFS(F$2:F298,F298,K$2:K298,"Sparse"))</f>
        <v>SD43</v>
      </c>
      <c r="B298" s="22" t="str">
        <f>J298&amp;(COUNTIF(J$2:J298,J298))</f>
        <v>Lincolnshire8</v>
      </c>
      <c r="C298" t="s">
        <v>184</v>
      </c>
      <c r="D298" t="s">
        <v>184</v>
      </c>
      <c r="E298" s="25" t="s">
        <v>366</v>
      </c>
      <c r="F298" s="25" t="s">
        <v>379</v>
      </c>
      <c r="G298" s="25" t="s">
        <v>5</v>
      </c>
      <c r="H298" s="26" t="s">
        <v>891</v>
      </c>
      <c r="I298" s="27" t="s">
        <v>380</v>
      </c>
      <c r="J298" t="s">
        <v>318</v>
      </c>
      <c r="K298" t="s">
        <v>335</v>
      </c>
    </row>
    <row r="299" spans="1:11" ht="14.4">
      <c r="A299" s="22" t="str">
        <f>F299&amp;(COUNTIFS(F$2:F299,F299,K$2:K299,"Sparse"))</f>
        <v>UA15</v>
      </c>
      <c r="B299" s="22" t="str">
        <f>J299&amp;(COUNTIF(J$2:J299,J299))</f>
        <v>Unitary58</v>
      </c>
      <c r="C299" t="s">
        <v>898</v>
      </c>
      <c r="D299" t="s">
        <v>898</v>
      </c>
      <c r="E299" s="25" t="s">
        <v>366</v>
      </c>
      <c r="F299" s="25" t="s">
        <v>385</v>
      </c>
      <c r="G299" s="25" t="s">
        <v>394</v>
      </c>
      <c r="H299" s="26" t="s">
        <v>892</v>
      </c>
      <c r="I299" s="27" t="s">
        <v>892</v>
      </c>
      <c r="J299" t="s">
        <v>394</v>
      </c>
      <c r="K299" t="s">
        <v>335</v>
      </c>
    </row>
    <row r="300" spans="1:11" ht="14.4">
      <c r="A300" s="22" t="str">
        <f>F300&amp;(COUNTIFS(F$2:F300,F300,K$2:K300,"Sparse"))</f>
        <v>SD44</v>
      </c>
      <c r="B300" s="22" t="str">
        <f>J300&amp;(COUNTIF(J$2:J300,J300))</f>
        <v>Oxfordshire6</v>
      </c>
      <c r="C300" t="s">
        <v>185</v>
      </c>
      <c r="D300" t="s">
        <v>185</v>
      </c>
      <c r="E300" s="25" t="s">
        <v>0</v>
      </c>
      <c r="F300" s="25" t="s">
        <v>379</v>
      </c>
      <c r="G300" s="25" t="s">
        <v>5</v>
      </c>
      <c r="H300" s="26" t="s">
        <v>891</v>
      </c>
      <c r="I300" s="27" t="s">
        <v>380</v>
      </c>
      <c r="J300" t="s">
        <v>324</v>
      </c>
      <c r="K300" t="s">
        <v>335</v>
      </c>
    </row>
    <row r="301" spans="1:11" ht="14.4">
      <c r="A301" s="22" t="str">
        <f>F301&amp;(COUNTIFS(F$2:F301,F301,K$2:K301,"Sparse"))</f>
        <v>SD45</v>
      </c>
      <c r="B301" s="22" t="str">
        <f>J301&amp;(COUNTIF(J$2:J301,J301))</f>
        <v>Suffolk6</v>
      </c>
      <c r="C301" t="s">
        <v>895</v>
      </c>
      <c r="D301" t="s">
        <v>895</v>
      </c>
      <c r="E301" s="25" t="s">
        <v>368</v>
      </c>
      <c r="F301" s="25" t="s">
        <v>379</v>
      </c>
      <c r="G301" s="25" t="s">
        <v>5</v>
      </c>
      <c r="H301" s="26" t="s">
        <v>891</v>
      </c>
      <c r="I301" s="27" t="s">
        <v>380</v>
      </c>
      <c r="J301" t="s">
        <v>328</v>
      </c>
      <c r="K301" t="s">
        <v>335</v>
      </c>
    </row>
    <row r="302" spans="1:11" ht="14.4">
      <c r="A302" s="22" t="str">
        <f>F302&amp;(COUNTIFS(F$2:F302,F302,K$2:K302,"Sparse"))</f>
        <v>SC8</v>
      </c>
      <c r="B302" s="22" t="str">
        <f>J302&amp;(COUNTIF(J$2:J302,J302))</f>
        <v>West Sussex7</v>
      </c>
      <c r="C302" t="s">
        <v>331</v>
      </c>
      <c r="D302" t="s">
        <v>331</v>
      </c>
      <c r="E302" s="25" t="s">
        <v>0</v>
      </c>
      <c r="F302" s="25" t="s">
        <v>387</v>
      </c>
      <c r="G302" s="25" t="s">
        <v>301</v>
      </c>
      <c r="H302" s="26" t="s">
        <v>892</v>
      </c>
      <c r="I302" s="27" t="s">
        <v>892</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3.xml><?xml version="1.0" encoding="utf-8"?>
<ds:datastoreItem xmlns:ds="http://schemas.openxmlformats.org/officeDocument/2006/customXml" ds:itemID="{5A596ABB-15EA-4256-9941-C2F6CCF12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2024-03-19T15:36:14Z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0x010100B9BF68E939648E41A7AD205F45E1D06E</vt:lpwstr>
  </property>
  <property fmtid="{D5CDD505-2E9C-101B-9397-08002B2CF9AE}" pid="3" name="MediaServiceImageTags">
    <vt:lpwstr/>
  </property>
</Properties>
</file>