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60924/"/>
    </mc:Choice>
  </mc:AlternateContent>
  <xr:revisionPtr revIDLastSave="59" documentId="8_{DF48F5CA-1764-48C1-80F9-19A58F9AA0AA}" xr6:coauthVersionLast="47" xr6:coauthVersionMax="47" xr10:uidLastSave="{68DB28CA-9A3F-4F59-8156-FB7D3B403EA4}"/>
  <workbookProtection workbookAlgorithmName="SHA-512" workbookHashValue="wdb+jewUY+bOKacRsVJ1j/bch3pBxFNEs4wZ0mc4EEFjTxJ3BrpyQgyT/xFlC/JzwuL0AXkZKMe3SPRrAJdHag==" workbookSaltValue="Z9t/I8EVxsi/WxVyW9z8S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H69" i="16" s="1"/>
  <c r="I69" i="16" s="1"/>
  <c r="E69" i="16"/>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H207" i="16" s="1"/>
  <c r="I207" i="16" s="1"/>
  <c r="E207" i="16"/>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H259" i="16" s="1"/>
  <c r="I259" i="16" s="1"/>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H322" i="16" s="1"/>
  <c r="I322" i="16" s="1"/>
  <c r="E322" i="16"/>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F200" i="16" l="1"/>
  <c r="F129" i="16"/>
  <c r="F143" i="16"/>
  <c r="H213" i="16"/>
  <c r="H134" i="16"/>
  <c r="H231" i="16"/>
  <c r="H94" i="16"/>
  <c r="H35" i="16"/>
  <c r="H12" i="16"/>
  <c r="H273" i="16"/>
  <c r="H308" i="16"/>
  <c r="H179" i="16"/>
  <c r="H316" i="16"/>
  <c r="H84" i="16"/>
  <c r="H77" i="16"/>
  <c r="H215" i="16"/>
  <c r="F59" i="16"/>
  <c r="H59" i="16"/>
  <c r="F237" i="16"/>
  <c r="H237" i="16"/>
  <c r="F240" i="16"/>
  <c r="AG66" i="16" s="1"/>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312" i="16"/>
  <c r="AG318" i="16"/>
  <c r="AG95" i="16"/>
  <c r="AG247" i="16"/>
  <c r="AG281" i="16"/>
  <c r="AG209" i="16"/>
  <c r="AG306" i="16"/>
  <c r="AG235" i="16"/>
  <c r="AG97" i="16"/>
  <c r="AG308" i="16"/>
  <c r="AG302" i="16"/>
  <c r="AG254" i="16"/>
  <c r="AG67" i="16"/>
  <c r="AG196" i="16"/>
  <c r="AG62"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294" i="16" l="1"/>
  <c r="AG165" i="16"/>
  <c r="AG154" i="16"/>
  <c r="AG284" i="16"/>
  <c r="AG204" i="16"/>
  <c r="AG146" i="16"/>
  <c r="AG178" i="16"/>
  <c r="AG210" i="16"/>
  <c r="AG238" i="16"/>
  <c r="AG105" i="16"/>
  <c r="AG83" i="16"/>
  <c r="AG151" i="16"/>
  <c r="AG133" i="16"/>
  <c r="AG101" i="16"/>
  <c r="AG321" i="16"/>
  <c r="AG249" i="16"/>
  <c r="AG325" i="16"/>
  <c r="AG207" i="16"/>
  <c r="AG122" i="16"/>
  <c r="AG280" i="16"/>
  <c r="AG286" i="16"/>
  <c r="AG181" i="16"/>
  <c r="AG162" i="16"/>
  <c r="AG252" i="16"/>
  <c r="AG173" i="16"/>
  <c r="AG304" i="16"/>
  <c r="AG190" i="16"/>
  <c r="AG319" i="16"/>
  <c r="AG283" i="16"/>
  <c r="AG323" i="16"/>
  <c r="AG191" i="16"/>
  <c r="AG228" i="16"/>
  <c r="AG222" i="16"/>
  <c r="AG107" i="16"/>
  <c r="AG237" i="16"/>
  <c r="AG300" i="16"/>
  <c r="AG179" i="16"/>
  <c r="AG187" i="16"/>
  <c r="AG291" i="16"/>
  <c r="AG305" i="16"/>
  <c r="AG267" i="16"/>
  <c r="AG58" i="16"/>
  <c r="AG177" i="16"/>
  <c r="AG292" i="16"/>
  <c r="AG297" i="16"/>
  <c r="AG220" i="16"/>
  <c r="AG198" i="16"/>
  <c r="AG87" i="16"/>
  <c r="AG265" i="16"/>
  <c r="AG78" i="16"/>
  <c r="AG259" i="16"/>
  <c r="AG63" i="16"/>
  <c r="AG110" i="16"/>
  <c r="AG140" i="16"/>
  <c r="AG65" i="16"/>
  <c r="AG221" i="16"/>
  <c r="AG288" i="16"/>
  <c r="AG77" i="16"/>
  <c r="AG326" i="16"/>
  <c r="AG274" i="16"/>
  <c r="AG214" i="16"/>
  <c r="AG268" i="16"/>
  <c r="AG129" i="16"/>
  <c r="AG102" i="16"/>
  <c r="AG264" i="16"/>
  <c r="AG273" i="16"/>
  <c r="AG213" i="16"/>
  <c r="AG127" i="16"/>
  <c r="AG242" i="16"/>
  <c r="AG156" i="16"/>
  <c r="AG135" i="16"/>
  <c r="AG203" i="16"/>
  <c r="AG164" i="16"/>
  <c r="AG161" i="16"/>
  <c r="AG90" i="16"/>
  <c r="AG278" i="16"/>
  <c r="AG132" i="16"/>
  <c r="AG175" i="16"/>
  <c r="AG193" i="16"/>
  <c r="AG126" i="16"/>
  <c r="AG174" i="16"/>
  <c r="AG317" i="16"/>
  <c r="AG250" i="16"/>
  <c r="AG167" i="16"/>
  <c r="AG64" i="16"/>
  <c r="AG293" i="16"/>
  <c r="AG166" i="16"/>
  <c r="AG217" i="16"/>
  <c r="AG205" i="16"/>
  <c r="AG119" i="16"/>
  <c r="AG160" i="16"/>
  <c r="AG299" i="16"/>
  <c r="AG96" i="16"/>
  <c r="AG136" i="16"/>
  <c r="AG200" i="16"/>
  <c r="AG144" i="16"/>
  <c r="AG73" i="16"/>
  <c r="AG301" i="16"/>
  <c r="AG188" i="16"/>
  <c r="AG197" i="16"/>
  <c r="AG128" i="16"/>
  <c r="AG88" i="16"/>
  <c r="AG212" i="16"/>
  <c r="AG246" i="16"/>
  <c r="AG211" i="16"/>
  <c r="AG180" i="16"/>
  <c r="AG189" i="16"/>
  <c r="AG118" i="16"/>
  <c r="AG137" i="16"/>
  <c r="AG111" i="16"/>
  <c r="AG81" i="16"/>
  <c r="AG232" i="16"/>
  <c r="AG172" i="16"/>
  <c r="AG121" i="16"/>
  <c r="AG303" i="16"/>
  <c r="AG114" i="16"/>
  <c r="AG201" i="16"/>
  <c r="AG182" i="16"/>
  <c r="AG158" i="16"/>
  <c r="AG229" i="16"/>
  <c r="AG100" i="16"/>
  <c r="AG170" i="16"/>
  <c r="AG257" i="16"/>
  <c r="AG199" i="16"/>
  <c r="AG202" i="16"/>
  <c r="AG125" i="16"/>
  <c r="AG112" i="16"/>
  <c r="AG89" i="16"/>
  <c r="AG310" i="16"/>
  <c r="AG243" i="16"/>
  <c r="AG322" i="16"/>
  <c r="AG289" i="16"/>
  <c r="AG141" i="16"/>
  <c r="AG272" i="16"/>
  <c r="AG255" i="16"/>
  <c r="AG113" i="16"/>
  <c r="AG123" i="16"/>
  <c r="AG240" i="16"/>
  <c r="AG71" i="16"/>
  <c r="AG130" i="16"/>
  <c r="AG234" i="16"/>
  <c r="AG279" i="16"/>
  <c r="AG109" i="16"/>
  <c r="AG72" i="16"/>
  <c r="AG59" i="16"/>
  <c r="AG223" i="16"/>
  <c r="AG195" i="16"/>
  <c r="AG215" i="16"/>
  <c r="AG194" i="16"/>
  <c r="AG208" i="16"/>
  <c r="AG309" i="16"/>
  <c r="AG149" i="16"/>
  <c r="AG258" i="16"/>
  <c r="AG143" i="16"/>
  <c r="AG86" i="16"/>
  <c r="AG98" i="16"/>
  <c r="AG84" i="16"/>
  <c r="AG226" i="16"/>
  <c r="AG236" i="16"/>
  <c r="AG61" i="16"/>
  <c r="AG225" i="16"/>
  <c r="AG163" i="16"/>
  <c r="AG245" i="16"/>
  <c r="AG327" i="16"/>
  <c r="AG152" i="16"/>
  <c r="AG263" i="16"/>
  <c r="AG320" i="16"/>
  <c r="AG75" i="16"/>
  <c r="AG69" i="16"/>
  <c r="AG218" i="16"/>
  <c r="AG115" i="16"/>
  <c r="AG313" i="16"/>
  <c r="AG307" i="16"/>
  <c r="AG285" i="16"/>
  <c r="AG186" i="16"/>
  <c r="AG183" i="16"/>
  <c r="AG99" i="16"/>
  <c r="AG216" i="16"/>
  <c r="AG277" i="16"/>
  <c r="AG176" i="16"/>
  <c r="AG314" i="16"/>
  <c r="AG168" i="16"/>
  <c r="AG256" i="16"/>
  <c r="AG253" i="16"/>
  <c r="AG171" i="16"/>
  <c r="AG145" i="16"/>
  <c r="AG148" i="16"/>
  <c r="AG92" i="16"/>
  <c r="AG103" i="16"/>
  <c r="AG106" i="16"/>
  <c r="AG93" i="16"/>
  <c r="AG85" i="16"/>
  <c r="AG227" i="16"/>
  <c r="AG60" i="16"/>
  <c r="AG224" i="16"/>
  <c r="AG230" i="16"/>
  <c r="AG184" i="16"/>
  <c r="AG296" i="16"/>
  <c r="AG169" i="16"/>
  <c r="AG271" i="16"/>
  <c r="AG153" i="16"/>
  <c r="AG316" i="16"/>
  <c r="AG68" i="16"/>
  <c r="AG120" i="16"/>
  <c r="AG117" i="16"/>
  <c r="AG104" i="16"/>
  <c r="AG80" i="16"/>
  <c r="AG192" i="16"/>
  <c r="AG94" i="16"/>
  <c r="AG206" i="16"/>
  <c r="AG298" i="16"/>
  <c r="AG282" i="16"/>
  <c r="AG276" i="16"/>
  <c r="AG108" i="16"/>
  <c r="AG248" i="16"/>
  <c r="AG142" i="16"/>
  <c r="AG251" i="16"/>
  <c r="AG116" i="16"/>
  <c r="AG79" i="16"/>
  <c r="AG138" i="16"/>
  <c r="AG239" i="16"/>
  <c r="AG287" i="16"/>
  <c r="AG315" i="16"/>
  <c r="AG219" i="16"/>
  <c r="AG266" i="16"/>
  <c r="AG134" i="16"/>
  <c r="AG290" i="16"/>
  <c r="AG155" i="16"/>
  <c r="AG275" i="16"/>
  <c r="AG147" i="16"/>
  <c r="AG260" i="16"/>
  <c r="AG157" i="16"/>
  <c r="AG262" i="16"/>
  <c r="AG185" i="16"/>
  <c r="AG324" i="16"/>
  <c r="AG131" i="16"/>
  <c r="AG82" i="16"/>
  <c r="AG124" i="16"/>
  <c r="AG70" i="16"/>
  <c r="AG76" i="16"/>
  <c r="AG233" i="16"/>
  <c r="AG261" i="16"/>
  <c r="AG241" i="16"/>
  <c r="AG74" i="16"/>
  <c r="AG231" i="16"/>
  <c r="AG269" i="16"/>
  <c r="AG139" i="16"/>
  <c r="AG270" i="16"/>
  <c r="AG150" i="16"/>
  <c r="AG295" i="16"/>
  <c r="AG159" i="16"/>
  <c r="AG311" i="16"/>
  <c r="AG91" i="16"/>
  <c r="AG244" i="16"/>
  <c r="AG11" i="16"/>
  <c r="L35" i="8"/>
  <c r="E48" i="8" s="1"/>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V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B22" i="16" l="1"/>
  <c r="Y22" i="16"/>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Y62" i="16" l="1"/>
  <c r="AQ62" i="16"/>
  <c r="AJ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Z18" i="16"/>
  <c r="V18" i="16"/>
  <c r="AR23"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V16" i="16" s="1"/>
  <c r="M327" i="16"/>
  <c r="S327" i="16"/>
  <c r="X327" i="16"/>
  <c r="Y327" i="16" s="1"/>
  <c r="N327" i="16"/>
  <c r="AP327" i="16"/>
  <c r="AQ327" i="16" s="1"/>
  <c r="AA327" i="16"/>
  <c r="AB327" i="16" s="1"/>
  <c r="AC17" i="16" l="1"/>
  <c r="AC18" i="16"/>
  <c r="AR43" i="16"/>
  <c r="AR47" i="16"/>
  <c r="Z20" i="16"/>
  <c r="Z17" i="16"/>
  <c r="Z16" i="16"/>
  <c r="AC20" i="16"/>
  <c r="AC16" i="16"/>
  <c r="V15" i="16"/>
  <c r="V20" i="16"/>
  <c r="Z15" i="16"/>
  <c r="Z21" i="16"/>
  <c r="AC15" i="16"/>
  <c r="AC21" i="16"/>
  <c r="V30" i="16"/>
  <c r="V21" i="16"/>
  <c r="AR50" i="16"/>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<sst xmlns="http://schemas.openxmlformats.org/spreadsheetml/2006/main" count="9483" uniqueCount="906">
  <si>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</si>
  <si>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</si>
  <si>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</si>
  <si>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</si>
  <si>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</si>
  <si>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</si>
  <si>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</si>
  <si>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</si>
  <si>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</si>
  <si>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</si>
  <si>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</si>
  <si>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</si>
  <si>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</si>
  <si>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</si>
  <si>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</si>
  <si>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</si>
  <si>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</si>
  <si>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</si>
  <si>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</si>
  <si>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</si>
  <si>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</si>
  <si>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</si>
  <si>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</si>
  <si>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</si>
  <si>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</si>
  <si>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</si>
  <si>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</si>
  <si>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</si>
  <si>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</si>
  <si>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</si>
  <si>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</si>
  <si>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</si>
  <si>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</si>
  <si>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</si>
  <si>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</si>
  <si>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</si>
  <si>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</si>
  <si>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</si>
  <si>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</si>
  <si>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</si>
  <si>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</si>
  <si>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</si>
  <si>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</si>
  <si>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</si>
  <si>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</si>
  <si>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</si>
  <si>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</si>
  <si>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</si>
  <si>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</si>
  <si>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</si>
  <si>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</si>
  <si>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</si>
  <si>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</si>
  <si>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</si>
  <si>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</si>
  <si>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</si>
  <si>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</si>
  <si>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</si>
  <si>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</si>
  <si>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</si>
  <si>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</si>
  <si>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</si>
  <si>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</si>
  <si>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</si>
  <si>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</si>
  <si>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</si>
  <si>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</si>
  <si>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</si>
  <si>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</si>
  <si>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</si>
  <si>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</si>
  <si>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</si>
  <si>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</si>
  <si>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</si>
  <si>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</si>
  <si>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</si>
  <si>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</si>
  <si>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</si>
  <si>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</si>
  <si>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</si>
  <si>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</si>
  <si>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</si>
  <si>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</si>
  <si>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</si>
  <si>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</si>
  <si>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</si>
  <si>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</si>
  <si>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</si>
  <si>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</si>
  <si>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</si>
  <si>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</si>
  <si>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</si>
  <si>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</si>
  <si>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</si>
  <si>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</si>
  <si>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</si>
  <si>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</si>
  <si>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</si>
  <si>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</si>
  <si>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</si>
  <si>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</si>
  <si>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</si>
  <si>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</si>
  <si>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</si>
  <si>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</si>
  <si>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</si>
  <si>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</si>
  <si>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</si>
  <si>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</si>
  <si>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</si>
  <si>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</si>
  <si>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</si>
  <si>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</si>
  <si>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</si>
  <si>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</si>
  <si>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</si>
  <si>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</si>
  <si>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</si>
  <si>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</si>
  <si>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</si>
  <si>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</si>
  <si>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</si>
  <si>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</si>
  <si>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</si>
  <si>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</si>
  <si>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</si>
  <si>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</si>
  <si>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</si>
  <si>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</si>
  <si>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</si>
  <si>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</si>
  <si>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</si>
  <si>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</si>
  <si>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</si>
  <si>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</si>
  <si>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</si>
  <si>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</si>
  <si>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</si>
  <si>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</si>
  <si>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</si>
  <si>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</si>
  <si>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</si>
  <si>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</si>
  <si>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</si>
  <si>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</si>
  <si>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</si>
  <si>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</si>
  <si>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</si>
  <si>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</si>
  <si>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</si>
  <si>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</si>
  <si>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</si>
  <si>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</si>
  <si>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</si>
  <si>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</si>
  <si>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</si>
  <si>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</si>
  <si>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</si>
  <si>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</si>
  <si>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</si>
  <si>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</si>
  <si>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</si>
  <si>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</si>
  <si>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</si>
  <si>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</si>
  <si>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</si>
  <si>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</si>
  <si>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</si>
  <si>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</si>
  <si>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</si>
  <si>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</si>
  <si>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</si>
  <si>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</si>
  <si>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</si>
  <si>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</si>
  <si>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</si>
  <si>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</si>
  <si>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</si>
  <si>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</si>
  <si>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</si>
  <si>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</si>
  <si>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</si>
  <si>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</si>
  <si>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</si>
  <si>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</si>
  <si>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</si>
  <si>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</si>
  <si>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</si>
  <si>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</si>
  <si>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</si>
  <si>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</si>
  <si>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</si>
  <si>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</si>
  <si>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</si>
  <si>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</si>
  <si>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</si>
  <si>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</si>
  <si>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</si>
  <si>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</si>
  <si>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</si>
  <si>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</si>
  <si>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</si>
  <si>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</si>
  <si>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</si>
  <si>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</si>
  <si>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</si>
  <si>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</si>
  <si>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</si>
  <si>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</si>
  <si>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</si>
  <si>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</si>
  <si>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</si>
  <si>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</si>
  <si>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</si>
  <si>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</si>
  <si>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</si>
  <si>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</si>
  <si>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</si>
  <si>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</si>
  <si>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</si>
  <si>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</si>
  <si>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</si>
  <si>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</si>
  <si>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</si>
  <si>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</si>
  <si>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</si>
  <si>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</si>
  <si>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</si>
  <si>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</si>
  <si>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</si>
  <si>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</si>
  <si>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</si>
  <si>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</si>
  <si>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</si>
  <si>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</si>
  <si>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</si>
  <si>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</si>
  <si>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</si>
  <si>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</si>
  <si>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</si>
  <si>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</si>
  <si>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</si>
  <si>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</si>
  <si>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</si>
  <si>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</si>
  <si>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</si>
  <si>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</si>
  <si>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</si>
  <si>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</si>
  <si>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</si>
  <si>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</si>
  <si>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</si>
  <si>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</si>
  <si>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</si>
  <si>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</si>
  <si>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</si>
  <si>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</si>
  <si>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</si>
  <si>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</si>
  <si>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</si>
  <si>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</si>
  <si>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</si>
  <si>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</si>
  <si>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</si>
  <si>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</si>
  <si>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</si>
  <si>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</si>
  <si>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</si>
  <si>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</si>
  <si>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</si>
  <si>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</si>
  <si>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</si>
  <si>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</si>
  <si>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</si>
  <si>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</si>
  <si>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</si>
  <si>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</si>
  <si>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</si>
  <si>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</si>
  <si>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</si>
  <si>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</si>
  <si>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</si>
  <si>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</si>
  <si>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</si>
  <si>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</si>
  <si>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</si>
  <si>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</si>
  <si>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</si>
  <si>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</si>
  <si>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</si>
  <si>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</si>
  <si>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</si>
  <si>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</si>
  <si>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</si>
  <si>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</si>
  <si>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</si>
  <si>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</si>
  <si>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</si>
  <si>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</si>
  <si>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</si>
  <si>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</si>
  <si>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</si>
  <si>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</si>
  <si>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</si>
  <si>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</si>
  <si>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</si>
  <si>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</si>
  <si>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</si>
  <si>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</si>
  <si>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</si>
  <si>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</si>
  <si>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</si>
  <si>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</si>
  <si>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</si>
  <si>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</si>
  <si>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</si>
  <si>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</si>
  <si>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</si>
  <si>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</si>
  <si>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</si>
  <si>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</si>
  <si>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</si>
  <si>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</si>
  <si>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</si>
  <si>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</si>
  <si>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</si>
  <si>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</si>
  <si>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</si>
  <si>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</si>
  <si>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</si>
  <si>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</si>
  <si>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</si>
  <si>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</si>
  <si>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</si>
  <si>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</si>
  <si>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</si>
  <si>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</si>
  <si>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</si>
  <si>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</si>
  <si>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</si>
  <si>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</si>
  <si>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</si>
  <si>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</si>
  <si>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</si>
  <si>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</si>
  <si>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</si>
  <si>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</si>
  <si>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</si>
  <si>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</si>
  <si>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</si>
  <si>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</si>
  <si>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</si>
  <si>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</si>
  <si>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</si>
  <si>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</si>
  <si>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</si>
  <si>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</si>
  <si>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</si>
  <si>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</si>
  <si>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</si>
  <si>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</si>
  <si>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</si>
  <si>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</si>
  <si>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</si>
  <si>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</si>
  <si>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</si>
  <si>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</si>
  <si>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</si>
  <si>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</si>
  <si>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</si>
  <si>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</si>
  <si>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</si>
  <si>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</si>
  <si>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</si>
  <si>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</si>
  <si>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</si>
  <si>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</si>
  <si>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</si>
  <si>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</si>
  <si>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</si>
  <si>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</si>
  <si>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</si>
  <si>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</si>
  <si>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</si>
  <si>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</si>
  <si>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</si>
  <si>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</si>
  <si>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</si>
  <si>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</si>
  <si>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</si>
  <si>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</si>
  <si>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</si>
  <si>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</si>
  <si>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</si>
  <si>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</si>
  <si>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</si>
  <si>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</si>
  <si>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</si>
  <si>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</si>
  <si>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</si>
  <si>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</si>
  <si>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</si>
  <si>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</si>
  <si>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</si>
  <si>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</si>
  <si>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</si>
  <si>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</si>
  <si>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</si>
  <si>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</si>
  <si>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</si>
  <si>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</si>
  <si>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</si>
  <si>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</si>
  <si>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</si>
  <si>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</si>
  <si>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</si>
  <si>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</si>
  <si>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</si>
  <si>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</si>
  <si>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</si>
  <si>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</si>
  <si>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</si>
  <si>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</si>
  <si>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</si>
  <si>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</si>
  <si>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</si>
  <si>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</si>
  <si>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</si>
  <si>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</si>
  <si>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</si>
  <si>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</si>
  <si>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</si>
  <si>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</si>
  <si>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</si>
  <si>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</si>
  <si>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</si>
  <si>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</si>
  <si>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</si>
  <si>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</si>
  <si>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</si>
  <si>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</si>
  <si>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</si>
  <si>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</si>
  <si>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</si>
  <si>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</si>
  <si>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</si>
  <si>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</si>
  <si>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</si>
  <si>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</si>
  <si>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</si>
  <si>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</si>
  <si>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</si>
  <si>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</si>
  <si>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</si>
  <si>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</si>
  <si>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</si>
  <si>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</si>
  <si>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</si>
  <si>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</si>
  <si>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</si>
  <si>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</si>
  <si>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</si>
  <si>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</si>
  <si>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</si>
  <si>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</si>
  <si>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</si>
  <si>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</si>
  <si>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</si>
  <si>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</si>
  <si>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</si>
  <si>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</si>
  <si>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</si>
  <si>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</si>
  <si>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</si>
  <si>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</si>
  <si>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</si>
  <si>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</si>
  <si>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</si>
  <si>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</si>
  <si>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</si>
  <si>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</si>
  <si>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</si>
  <si>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</si>
  <si>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</si>
  <si>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</si>
  <si>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</si>
  <si>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</si>
  <si>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</si>
  <si>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</si>
  <si>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</si>
  <si>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</si>
  <si>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</si>
  <si>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</si>
  <si>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</si>
  <si>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</si>
  <si>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</si>
  <si>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</si>
  <si>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</si>
  <si>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</si>
  <si>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</si>
  <si>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</si>
  <si>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</si>
  <si>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</si>
  <si>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</si>
  <si>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</si>
  <si>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</si>
  <si>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</si>
  <si>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</si>
  <si>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</si>
  <si>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</si>
  <si>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</si>
  <si>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</si>
  <si>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</si>
  <si>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</si>
  <si>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</si>
  <si>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</si>
  <si>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</si>
  <si>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</si>
  <si>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</si>
  <si>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</si>
  <si>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</si>
  <si>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</si>
  <si>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</si>
  <si>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</si>
  <si>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</si>
  <si>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</si>
  <si>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</si>
  <si>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</si>
  <si>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</si>
  <si>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</si>
  <si>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</si>
  <si>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</si>
  <si>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</si>
  <si>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</si>
  <si>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</si>
  <si>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</si>
  <si>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</si>
  <si>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</si>
  <si>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</si>
  <si>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</si>
  <si>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</si>
  <si>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</si>
  <si>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</si>
  <si>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</si>
  <si>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</si>
  <si>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</si>
  <si>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</si>
  <si>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</si>
  <si>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</si>
  <si>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</si>
  <si>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</si>
  <si>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</si>
  <si>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</si>
  <si>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</si>
  <si>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</si>
  <si>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</si>
  <si>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</si>
  <si>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</si>
  <si>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</si>
  <si>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</si>
  <si>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</si>
  <si>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</si>
  <si>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</si>
  <si>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</si>
  <si>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</si>
  <si>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</si>
  <si>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</si>
  <si>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</si>
  <si>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</si>
  <si>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</si>
  <si>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</si>
  <si>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</si>
  <si>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</si>
  <si>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</si>
  <si>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</si>
  <si>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</si>
  <si>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</si>
  <si>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</si>
  <si>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</si>
  <si>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</si>
  <si>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</si>
  <si>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</si>
  <si>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</si>
  <si>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</si>
  <si>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</si>
  <si>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</si>
  <si>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</si>
  <si>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</si>
  <si>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</si>
  <si>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</si>
  <si>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</si>
  <si>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</si>
  <si>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</si>
  <si>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</si>
  <si>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</si>
  <si>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</si>
  <si>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</si>
  <si>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</si>
  <si>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</si>
  <si>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</si>
  <si>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</si>
  <si>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</si>
  <si>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</si>
  <si>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</si>
  <si>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</si>
  <si>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</si>
  <si>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</si>
  <si>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</si>
  <si>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</si>
  <si>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</si>
  <si>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</si>
  <si>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</si>
  <si>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</si>
  <si>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</si>
  <si>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</si>
  <si>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</si>
  <si>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</si>
  <si>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</si>
  <si>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</si>
  <si>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</si>
  <si>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</si>
  <si>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</si>
  <si>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</si>
  <si>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</si>
  <si>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</si>
  <si>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</si>
  <si>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</si>
  <si>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</si>
  <si>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</si>
  <si>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</si>
  <si>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</si>
  <si>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</si>
  <si>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</si>
  <si>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</si>
  <si>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</si>
  <si>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</si>
  <si>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</si>
  <si>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</si>
  <si>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</si>
  <si>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</si>
  <si>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</si>
  <si>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</si>
  <si>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</si>
  <si>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</si>
  <si>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</si>
  <si>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</si>
  <si>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</si>
  <si>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</si>
  <si>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</si>
  <si>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</si>
  <si>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</si>
  <si>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</si>
  <si>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</si>
  <si>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</si>
  <si>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</si>
  <si>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</si>
  <si>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</si>
  <si>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</si>
  <si>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</si>
  <si>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</si>
  <si>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</si>
  <si>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</si>
  <si>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</si>
  <si>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</si>
  <si>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</si>
  <si>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</si>
  <si>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</si>
  <si>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</si>
  <si>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</si>
  <si>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</si>
  <si>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</si>
  <si>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</si>
  <si>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</si>
  <si>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</si>
  <si>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</si>
  <si>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</si>
  <si>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</si>
  <si>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</si>
  <si>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</si>
  <si>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</si>
  <si>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</si>
  <si>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</si>
  <si>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</si>
  <si>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</si>
  <si>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</si>
  <si>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</si>
  <si>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</si>
  <si>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</si>
  <si>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</si>
  <si>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</si>
  <si>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</si>
  <si>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</si>
  <si>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</si>
  <si>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</si>
  <si>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</si>
  <si>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</si>
  <si>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</si>
  <si>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</si>
  <si>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</si>
  <si>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</si>
  <si>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</si>
  <si>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</si>
  <si>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</si>
  <si>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</si>
  <si>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</si>
  <si>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</si>
  <si>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</si>
  <si>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</si>
  <si>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</si>
  <si>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</si>
  <si>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</si>
  <si>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</si>
  <si>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</si>
  <si>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</si>
  <si>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</si>
  <si>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</si>
  <si>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</si>
  <si>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</si>
  <si>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</si>
  <si>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</si>
  <si>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</si>
  <si>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</si>
  <si>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</si>
  <si>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</si>
  <si>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</si>
  <si>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</si>
  <si>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</si>
  <si>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</si>
  <si>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</si>
  <si>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</si>
  <si>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</si>
  <si>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</si>
  <si>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</si>
  <si>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</si>
  <si>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</si>
  <si>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</si>
  <si>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</si>
  <si>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</si>
  <si>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</si>
  <si>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</si>
  <si>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</si>
  <si>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</si>
  <si>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</si>
  <si>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</si>
  <si>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</si>
  <si>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</si>
  <si>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</si>
  <si>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</si>
  <si>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</si>
  <si>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</si>
  <si>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</si>
  <si>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</si>
  <si>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</si>
  <si>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</si>
  <si>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</si>
  <si>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</si>
  <si>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</si>
  <si>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</si>
  <si>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</si>
  <si>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</si>
  <si>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</si>
  <si>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</si>
  <si>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</si>
  <si>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</si>
  <si>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</si>
  <si>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</si>
  <si>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</si>
  <si>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</si>
  <si>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</si>
  <si>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</si>
  <si>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</si>
  <si>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</si>
  <si>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</si>
  <si>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</si>
  <si>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</si>
  <si>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</si>
  <si>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</si>
  <si>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</si>
  <si>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</si>
  <si>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</si>
  <si>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</si>
  <si>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</si>
  <si>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</si>
  <si>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</si>
  <si>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</si>
  <si>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</si>
  <si>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</si>
  <si>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</si>
  <si>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</si>
  <si>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</si>
  <si>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</si>
  <si>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</si>
  <si>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</si>
  <si>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</si>
  <si>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</si>
  <si>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</si>
  <si>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</si>
  <si>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</si>
  <si>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</si>
  <si>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</si>
  <si>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</si>
  <si>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</si>
  <si>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</si>
  <si>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</si>
  <si>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</si>
  <si>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</si>
  <si>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</si>
  <si>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</si>
  <si>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</si>
  <si>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</si>
  <si>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</si>
  <si>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</si>
  <si>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</si>
  <si>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</si>
  <si>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</si>
  <si>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</si>
  <si>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</si>
  <si>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</si>
  <si>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</si>
  <si>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</si>
  <si>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</si>
  <si>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</si>
  <si>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</si>
  <si>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</si>
  <si>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</si>
  <si>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</si>
  <si>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</si>
  <si>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</si>
  <si>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</si>
  <si>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</si>
  <si>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</si>
  <si>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</si>
  <si>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</si>
  <si>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</si>
  <si>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</si>
  <si>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</si>
  <si>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</si>
  <si>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</si>
  <si>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</si>
  <si>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</si>
  <si>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</si>
  <si>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</si>
  <si>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</si>
  <si>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</si>
  <si>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</si>
  <si>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</si>
  <si>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</si>
  <si>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</si>
  <si>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</si>
  <si>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</si>
  <si>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</si>
  <si>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</si>
  <si>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</si>
  <si>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</si>
  <si>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</si>
  <si>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</si>
  <si>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</si>
  <si>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</si>
  <si>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</si>
  <si>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</si>
  <si>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</si>
  <si>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</si>
  <si>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</si>
  <si>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</si>
  <si>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</si>
  <si>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</si>
  <si>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</si>
  <si>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</si>
  <si>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</si>
  <si>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</si>
  <si>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</si>
  <si>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</si>
  <si>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</si>
  <si>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</si>
  <si>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</si>
  <si>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</si>
  <si>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</si>
  <si>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</si>
  <si>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</si>
  <si>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</si>
  <si>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</si>
  <si>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</si>
  <si>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</si>
  <si>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</si>
  <si>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</si>
  <si>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</si>
  <si>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</si>
  <si>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</si>
  <si>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</si>
  <si>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</si>
  <si>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</si>
  <si>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</si>
  <si>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</si>
  <si>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</si>
  <si>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</si>
  <si>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</si>
  <si>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</si>
  <si>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</si>
  <si>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</si>
  <si>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</si>
  <si>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</si>
  <si>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</si>
  <si>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</si>
  <si>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</si>
  <si>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2024 Q1</t>
  </si>
  <si>
    <t>2024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</si>
</sst>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0" xfId="0" applyAlignment="1">
      <alignment horizontal="left"/>
    </xf>
    <xf numFmtId="0" fontId="24" fillId="0" borderId="0" xfId="0" applyFont="1" applyAlignment="1">
      <alignment horizontal="left"/>
    </xf>
    <xf numFmtId="0" fontId="0" fillId="0" borderId="0" xfId="0" applyAlignment="1">
      <alignment horizontal="center"/>
    </xf>
    <xf numFmtId="2" fontId="24" fillId="0" borderId="0" xfId="4" applyNumberFormat="1" applyFont="1" applyAlignment="1">
      <alignment horizontal="right"/>
    </xf>
    <xf numFmtId="0" fontId="39" fillId="23" borderId="0" xfId="0" applyFont="1" applyFill="1" applyAlignment="1">
      <alignment horizontal="center" vertical="center"/>
    </xf>
    <xf numFmtId="2" fontId="0" fillId="0" borderId="0" xfId="52" applyNumberFormat="1" applyFont="1" applyAlignment="1">
      <alignment horizontal="center"/>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1" fillId="23" borderId="0" xfId="0" quotePrefix="1" applyFont="1" applyFill="1" applyAlignment="1">
      <alignment horizontal="center"/>
    </xf>
    <xf numFmtId="0" fontId="24" fillId="0" borderId="0" xfId="0" applyFont="1" applyAlignment="1">
      <alignment horizontal="center"/>
    </xf>
    <xf numFmtId="2" fontId="24" fillId="0" borderId="0" xfId="4" applyNumberFormat="1" applyFont="1" applyAlignment="1">
      <alignment horizontal="center"/>
    </xf>
    <xf numFmtId="1" fontId="0" fillId="0" borderId="0" xfId="0" applyNumberFormat="1" applyAlignment="1">
      <alignment horizontal="center"/>
    </xf>
    <xf numFmtId="0" fontId="55" fillId="23" borderId="0" xfId="0" applyFont="1" applyFill="1" applyAlignment="1">
      <alignment horizontal="center" vertical="center"/>
    </xf>
    <xf numFmtId="0" fontId="36" fillId="0" borderId="0" xfId="0" applyFont="1" applyAlignment="1">
      <alignment horizont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37" fillId="5" borderId="4" xfId="0" applyFont="1" applyFill="1" applyBorder="1" applyAlignment="1">
      <alignment horizontal="center"/>
    </xf>
    <xf numFmtId="43" fontId="23"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4" fillId="23" borderId="0" xfId="0" applyFont="1" applyFill="1" applyAlignment="1">
      <alignment horizontal="center" vertical="center"/>
    </xf>
    <xf numFmtId="43" fontId="23" fillId="0" borderId="14" xfId="54" applyFont="1" applyBorder="1" applyAlignment="1">
      <alignment horizontal="center"/>
    </xf>
    <xf numFmtId="0" fontId="26" fillId="2" borderId="4" xfId="0" applyFont="1" applyFill="1" applyBorder="1" applyAlignment="1">
      <alignment horizontal="center"/>
    </xf>
    <xf numFmtId="1" fontId="25" fillId="0" borderId="4" xfId="4" applyNumberFormat="1" applyFont="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7"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4" fillId="21" borderId="0" xfId="4" applyNumberFormat="1" applyFont="1" applyFill="1" applyAlignment="1">
      <alignment horizontal="center"/>
    </xf>
    <xf numFmtId="0" fontId="24"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8"/>
                <c:pt idx="37">
                  <c:v>u</c:v>
                </c:pt>
              </c:strCache>
            </c:strRef>
          </c:cat>
          <c:val>
            <c:numRef>
              <c:f>[0]!TopQuart</c:f>
              <c:numCache>
                <c:formatCode>General</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8"/>
                <c:pt idx="37">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96.969696969696969</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8"/>
                <c:pt idx="37">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95.454545454545453</c:v>
                </c:pt>
                <c:pt idx="32">
                  <c:v>94.444444444444443</c:v>
                </c:pt>
                <c:pt idx="33">
                  <c:v>93.023255813953483</c:v>
                </c:pt>
                <c:pt idx="34">
                  <c:v>92.857142857142861</c:v>
                </c:pt>
                <c:pt idx="35">
                  <c:v>92.10526315789474</c:v>
                </c:pt>
                <c:pt idx="36">
                  <c:v>91.666666666666657</c:v>
                </c:pt>
                <c:pt idx="37">
                  <c:v>91.666666666666657</c:v>
                </c:pt>
                <c:pt idx="38">
                  <c:v>91.666666666666657</c:v>
                </c:pt>
                <c:pt idx="39">
                  <c:v>91.666666666666657</c:v>
                </c:pt>
                <c:pt idx="40">
                  <c:v>88.888888888888886</c:v>
                </c:pt>
                <c:pt idx="41">
                  <c:v>87.5</c:v>
                </c:pt>
                <c:pt idx="42">
                  <c:v>87.5</c:v>
                </c:pt>
                <c:pt idx="43">
                  <c:v>87.5</c:v>
                </c:pt>
                <c:pt idx="44">
                  <c:v>86.666666666666671</c:v>
                </c:pt>
                <c:pt idx="45">
                  <c:v>86.206896551724128</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8"/>
                <c:pt idx="37">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85.18518518518519</c:v>
                </c:pt>
                <c:pt idx="47">
                  <c:v>84.090909090909093</c:v>
                </c:pt>
                <c:pt idx="48">
                  <c:v>83.333333333333343</c:v>
                </c:pt>
                <c:pt idx="49">
                  <c:v>83.333333333333343</c:v>
                </c:pt>
                <c:pt idx="50">
                  <c:v>83.333333333333343</c:v>
                </c:pt>
                <c:pt idx="51">
                  <c:v>81.818181818181827</c:v>
                </c:pt>
                <c:pt idx="52">
                  <c:v>81.25</c:v>
                </c:pt>
                <c:pt idx="53">
                  <c:v>80</c:v>
                </c:pt>
                <c:pt idx="54">
                  <c:v>80</c:v>
                </c:pt>
                <c:pt idx="55">
                  <c:v>80</c:v>
                </c:pt>
                <c:pt idx="56">
                  <c:v>77.777777777777786</c:v>
                </c:pt>
                <c:pt idx="57">
                  <c:v>76.923076923076934</c:v>
                </c:pt>
                <c:pt idx="58">
                  <c:v>75</c:v>
                </c:pt>
                <c:pt idx="59">
                  <c:v>75</c:v>
                </c:pt>
                <c:pt idx="60">
                  <c:v>66.666666666666657</c:v>
                </c:pt>
                <c:pt idx="61">
                  <c:v>66.666666666666657</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8"/>
                <c:pt idx="37">
                  <c:v>u</c:v>
                </c:pt>
              </c:strCache>
            </c:strRef>
          </c:cat>
          <c:val>
            <c:numRef>
              <c:f>[0]!MarkData</c:f>
              <c:numCache>
                <c:formatCode>0.00</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96.969696969696969</c:v>
                </c:pt>
                <c:pt idx="31">
                  <c:v>95.454545454545453</c:v>
                </c:pt>
                <c:pt idx="32">
                  <c:v>94.444444444444443</c:v>
                </c:pt>
                <c:pt idx="33">
                  <c:v>93.023255813953483</c:v>
                </c:pt>
                <c:pt idx="34">
                  <c:v>92.857142857142861</c:v>
                </c:pt>
                <c:pt idx="35">
                  <c:v>92.10526315789474</c:v>
                </c:pt>
                <c:pt idx="36">
                  <c:v>91.666666666666657</c:v>
                </c:pt>
                <c:pt idx="37">
                  <c:v>91.666666666666657</c:v>
                </c:pt>
                <c:pt idx="38">
                  <c:v>91.666666666666657</c:v>
                </c:pt>
                <c:pt idx="39">
                  <c:v>91.666666666666657</c:v>
                </c:pt>
                <c:pt idx="40">
                  <c:v>88.888888888888886</c:v>
                </c:pt>
                <c:pt idx="41">
                  <c:v>87.5</c:v>
                </c:pt>
                <c:pt idx="42">
                  <c:v>87.5</c:v>
                </c:pt>
                <c:pt idx="43">
                  <c:v>87.5</c:v>
                </c:pt>
                <c:pt idx="44">
                  <c:v>86.666666666666671</c:v>
                </c:pt>
                <c:pt idx="45">
                  <c:v>86.206896551724128</c:v>
                </c:pt>
                <c:pt idx="46">
                  <c:v>85.18518518518519</c:v>
                </c:pt>
                <c:pt idx="47">
                  <c:v>84.090909090909093</c:v>
                </c:pt>
                <c:pt idx="48">
                  <c:v>83.333333333333343</c:v>
                </c:pt>
                <c:pt idx="49">
                  <c:v>83.333333333333343</c:v>
                </c:pt>
                <c:pt idx="50">
                  <c:v>83.333333333333343</c:v>
                </c:pt>
                <c:pt idx="51">
                  <c:v>81.818181818181827</c:v>
                </c:pt>
                <c:pt idx="52">
                  <c:v>81.25</c:v>
                </c:pt>
                <c:pt idx="53">
                  <c:v>80</c:v>
                </c:pt>
                <c:pt idx="54">
                  <c:v>80</c:v>
                </c:pt>
                <c:pt idx="55">
                  <c:v>80</c:v>
                </c:pt>
                <c:pt idx="56">
                  <c:v>77.777777777777786</c:v>
                </c:pt>
                <c:pt idx="57">
                  <c:v>76.923076923076934</c:v>
                </c:pt>
                <c:pt idx="58">
                  <c:v>75</c:v>
                </c:pt>
                <c:pt idx="59">
                  <c:v>75</c:v>
                </c:pt>
                <c:pt idx="60">
                  <c:v>66.666666666666657</c:v>
                </c:pt>
                <c:pt idx="61">
                  <c:v>66.666666666666657</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91.666666666666657</c:v>
                </c:pt>
                <c:pt idx="1">
                  <c:v>92.196160187098172</c:v>
                </c:pt>
                <c:pt idx="2">
                  <c:v>91.354166666666657</c:v>
                </c:pt>
                <c:pt idx="3">
                  <c:v>91.7500773038105</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96.212121212121218</c:v>
                </c:pt>
                <c:pt idx="1">
                  <c:v>96.212121212121218</c:v>
                </c:pt>
                <c:pt idx="2">
                  <c:v>96.212121212121218</c:v>
                </c:pt>
                <c:pt idx="3">
                  <c:v>96.212121212121218</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85.440613026819932</c:v>
                </c:pt>
                <c:pt idx="1">
                  <c:v>85.440613026819932</c:v>
                </c:pt>
                <c:pt idx="2">
                  <c:v>85.440613026819932</c:v>
                </c:pt>
                <c:pt idx="3">
                  <c:v>85.440613026819932</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91.666666666666657</c:v>
                </c:pt>
                <c:pt idx="1">
                  <c:v>91.587039990548789</c:v>
                </c:pt>
                <c:pt idx="2">
                  <c:v>92.289166639022952</c:v>
                </c:pt>
                <c:pt idx="3">
                  <c:v>92.722393885184587</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96.212121212121218</c:v>
                </c:pt>
                <c:pt idx="1">
                  <c:v>96.212121212121218</c:v>
                </c:pt>
                <c:pt idx="2">
                  <c:v>96.212121212121218</c:v>
                </c:pt>
                <c:pt idx="3">
                  <c:v>96.212121212121218</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85.440613026819932</c:v>
                </c:pt>
                <c:pt idx="1">
                  <c:v>85.440613026819932</c:v>
                </c:pt>
                <c:pt idx="2">
                  <c:v>85.440613026819932</c:v>
                </c:pt>
                <c:pt idx="3">
                  <c:v>85.440613026819932</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49" t="str">
        <f>VLOOKUP('Filtered Data'!D1,'Filtered Data'!L1:O6,3,FALSE)</f>
        <v>Unitary</v>
      </c>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row>
    <row r="2" spans="2:40"/>
    <row r="3" spans="2:40" ht="19.5" customHeight="1">
      <c r="B3" s="272" t="str">
        <f>Data!B3</f>
        <v>Planning Application Turnaround</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row>
    <row r="4" spans="2:40">
      <c r="D4" s="3"/>
      <c r="E4" s="3"/>
    </row>
    <row r="5" spans="2:40" ht="15.75" customHeight="1">
      <c r="B5" s="300" t="s">
        <v>334</v>
      </c>
      <c r="C5" s="300"/>
      <c r="D5" s="300"/>
      <c r="E5" s="300"/>
      <c r="J5" s="303" t="s">
        <v>304</v>
      </c>
      <c r="K5" s="303"/>
      <c r="L5" s="303"/>
      <c r="M5" s="303"/>
      <c r="N5" s="303"/>
      <c r="O5" s="303"/>
      <c r="P5" s="303"/>
      <c r="Q5" s="303"/>
      <c r="R5" s="303"/>
      <c r="S5" s="303"/>
      <c r="W5" s="279" t="s">
        <v>361</v>
      </c>
      <c r="X5" s="280"/>
      <c r="Y5" s="280"/>
      <c r="Z5" s="280"/>
      <c r="AA5" s="280"/>
      <c r="AB5" s="280"/>
      <c r="AC5" s="280"/>
      <c r="AD5" s="280"/>
      <c r="AE5" s="280"/>
      <c r="AF5" s="280"/>
      <c r="AG5" s="280"/>
      <c r="AH5" s="280"/>
      <c r="AI5" s="280"/>
      <c r="AJ5" s="280"/>
      <c r="AK5" s="280"/>
      <c r="AL5" s="280"/>
      <c r="AM5" s="281"/>
    </row>
    <row r="6" spans="2:40" ht="17.25" customHeight="1">
      <c r="J6" s="303"/>
      <c r="K6" s="303"/>
      <c r="L6" s="303"/>
      <c r="M6" s="303"/>
      <c r="N6" s="303"/>
      <c r="O6" s="303"/>
      <c r="P6" s="303"/>
      <c r="Q6" s="303"/>
      <c r="R6" s="303"/>
      <c r="S6" s="303"/>
      <c r="W6" s="282" t="s">
        <v>901</v>
      </c>
      <c r="X6" s="283"/>
      <c r="Y6" s="283"/>
      <c r="Z6" s="283"/>
      <c r="AA6" s="283"/>
      <c r="AB6" s="283"/>
      <c r="AC6" s="283"/>
      <c r="AD6" s="283"/>
      <c r="AE6" s="283"/>
      <c r="AF6" s="283"/>
      <c r="AG6" s="283"/>
      <c r="AH6" s="283"/>
      <c r="AI6" s="283"/>
      <c r="AJ6" s="283"/>
      <c r="AK6" s="283"/>
      <c r="AL6" s="283"/>
      <c r="AM6" s="284"/>
    </row>
    <row r="7" spans="2:40" ht="12.75" customHeight="1">
      <c r="W7" s="282"/>
      <c r="X7" s="283"/>
      <c r="Y7" s="283"/>
      <c r="Z7" s="283"/>
      <c r="AA7" s="283"/>
      <c r="AB7" s="283"/>
      <c r="AC7" s="283"/>
      <c r="AD7" s="283"/>
      <c r="AE7" s="283"/>
      <c r="AF7" s="283"/>
      <c r="AG7" s="283"/>
      <c r="AH7" s="283"/>
      <c r="AI7" s="283"/>
      <c r="AJ7" s="283"/>
      <c r="AK7" s="283"/>
      <c r="AL7" s="283"/>
      <c r="AM7" s="284"/>
    </row>
    <row r="8" spans="2:40" ht="12.75" customHeight="1">
      <c r="B8" s="233" t="str">
        <f>IF('Filtered Data'!D1="L","County:","Type of Authority:")</f>
        <v>Type of Authority:</v>
      </c>
      <c r="C8" s="304"/>
      <c r="D8" s="304"/>
      <c r="E8" s="304"/>
      <c r="F8" s="304"/>
      <c r="G8" s="304"/>
      <c r="H8" s="304"/>
      <c r="I8" s="304"/>
      <c r="J8" s="3" t="str">
        <f>IF('Filtered Data'!D1="L",'Filtered Data'!I3,VLOOKUP('Filtered Data'!D1,'Filtered Data'!L1:O5,3,FALSE))</f>
        <v>Unitary</v>
      </c>
      <c r="K8" s="3"/>
      <c r="L8" s="3"/>
      <c r="M8" s="3"/>
      <c r="N8" s="3"/>
      <c r="O8" s="3"/>
      <c r="P8" s="3"/>
      <c r="Q8" s="3"/>
      <c r="R8" s="3"/>
      <c r="W8" s="282"/>
      <c r="X8" s="283"/>
      <c r="Y8" s="283"/>
      <c r="Z8" s="283"/>
      <c r="AA8" s="283"/>
      <c r="AB8" s="283"/>
      <c r="AC8" s="283"/>
      <c r="AD8" s="283"/>
      <c r="AE8" s="283"/>
      <c r="AF8" s="283"/>
      <c r="AG8" s="283"/>
      <c r="AH8" s="283"/>
      <c r="AI8" s="283"/>
      <c r="AJ8" s="283"/>
      <c r="AK8" s="283"/>
      <c r="AL8" s="283"/>
      <c r="AM8" s="284"/>
    </row>
    <row r="9" spans="2:40" ht="12.75" customHeight="1">
      <c r="B9" s="233" t="str">
        <f>IF('Filtered Data'!D1="L","Rural Classification:","Region:")</f>
        <v>Region:</v>
      </c>
      <c r="C9" s="304"/>
      <c r="D9" s="304"/>
      <c r="E9" s="304"/>
      <c r="F9" s="304"/>
      <c r="G9" s="304"/>
      <c r="H9" s="304"/>
      <c r="I9" s="304"/>
      <c r="J9" s="3" t="str">
        <f>IF('Filtered Data'!D1="L",'Filtered Data'!H3,'Filtered Data'!G3)</f>
        <v>North West</v>
      </c>
      <c r="K9" s="3"/>
      <c r="L9" s="3"/>
      <c r="M9" s="3"/>
      <c r="N9" s="3"/>
      <c r="O9" s="3"/>
      <c r="P9" s="3"/>
      <c r="Q9" s="3"/>
      <c r="R9" s="3"/>
      <c r="W9" s="282"/>
      <c r="X9" s="283"/>
      <c r="Y9" s="283"/>
      <c r="Z9" s="283"/>
      <c r="AA9" s="283"/>
      <c r="AB9" s="283"/>
      <c r="AC9" s="283"/>
      <c r="AD9" s="283"/>
      <c r="AE9" s="283"/>
      <c r="AF9" s="283"/>
      <c r="AG9" s="283"/>
      <c r="AH9" s="283"/>
      <c r="AI9" s="283"/>
      <c r="AJ9" s="283"/>
      <c r="AK9" s="283"/>
      <c r="AL9" s="283"/>
      <c r="AM9" s="284"/>
    </row>
    <row r="10" spans="2:40" ht="12.75" customHeight="1">
      <c r="B10" s="304" t="str">
        <f>IF('Filtered Data'!D1="L","",IF('Filtered Data'!D1="SC","Rural Classification:",IF('Filtered Data'!D1="UA","Rural Classification:","County:")))</f>
        <v>Rural Classification:</v>
      </c>
      <c r="C10" s="304"/>
      <c r="D10" s="304"/>
      <c r="E10" s="304"/>
      <c r="F10" s="304"/>
      <c r="G10" s="304"/>
      <c r="H10" s="304"/>
      <c r="I10" s="304"/>
      <c r="J10" s="233" t="str">
        <f>IF('Filtered Data'!D1="L","",IF('Filtered Data'!D1="MD",'Filtered Data'!I3,IF('Filtered Data'!D1="SD",'Filtered Data'!I3,'Filtered Data'!H3)))</f>
        <v>Urban with Significant Rural</v>
      </c>
      <c r="K10" s="233"/>
      <c r="L10" s="233"/>
      <c r="M10" s="233"/>
      <c r="N10" s="233"/>
      <c r="O10" s="233"/>
      <c r="P10" s="233"/>
      <c r="Q10" s="233"/>
      <c r="R10" s="233"/>
      <c r="W10" s="282"/>
      <c r="X10" s="283"/>
      <c r="Y10" s="283"/>
      <c r="Z10" s="283"/>
      <c r="AA10" s="283"/>
      <c r="AB10" s="283"/>
      <c r="AC10" s="283"/>
      <c r="AD10" s="283"/>
      <c r="AE10" s="283"/>
      <c r="AF10" s="283"/>
      <c r="AG10" s="283"/>
      <c r="AH10" s="283"/>
      <c r="AI10" s="283"/>
      <c r="AJ10" s="283"/>
      <c r="AK10" s="283"/>
      <c r="AL10" s="283"/>
      <c r="AM10" s="284"/>
    </row>
    <row r="11" spans="2:40" ht="12.75" customHeight="1">
      <c r="B11" s="304" t="str">
        <f>IF('Filtered Data'!D1="L","",IF('Filtered Data'!D1="SC","",IF('Filtered Data'!D1="UA","","Rural Classification:")))</f>
        <v/>
      </c>
      <c r="C11" s="304"/>
      <c r="D11" s="304"/>
      <c r="E11" s="304"/>
      <c r="F11" s="304"/>
      <c r="G11" s="304"/>
      <c r="H11" s="304"/>
      <c r="I11" s="304"/>
      <c r="J11" s="3" t="str">
        <f>IF('Filtered Data'!D1="MD",'Filtered Data'!H3,IF('Filtered Data'!D1="SD",'Filtered Data'!H3,""))</f>
        <v/>
      </c>
      <c r="K11" s="3"/>
      <c r="W11" s="288" t="s">
        <v>364</v>
      </c>
      <c r="X11" s="289"/>
      <c r="Y11" s="289"/>
      <c r="Z11" s="289"/>
      <c r="AA11" s="289"/>
      <c r="AB11" s="289"/>
      <c r="AC11" s="289"/>
      <c r="AD11" s="289"/>
      <c r="AE11" s="289"/>
      <c r="AF11" s="289"/>
      <c r="AG11" s="289"/>
      <c r="AH11" s="289"/>
      <c r="AI11" s="289"/>
      <c r="AJ11" s="289"/>
      <c r="AK11" s="289"/>
      <c r="AL11" s="289"/>
      <c r="AM11" s="290"/>
    </row>
    <row r="12" spans="2:40" ht="12.75" customHeight="1">
      <c r="W12" s="263" t="s">
        <v>905</v>
      </c>
      <c r="X12" s="264"/>
      <c r="Y12" s="264"/>
      <c r="Z12" s="264"/>
      <c r="AA12" s="264"/>
      <c r="AB12" s="264"/>
      <c r="AC12" s="264"/>
      <c r="AD12" s="264"/>
      <c r="AE12" s="264"/>
      <c r="AF12" s="264"/>
      <c r="AG12" s="264"/>
      <c r="AH12" s="264"/>
      <c r="AI12" s="264"/>
      <c r="AJ12" s="264"/>
      <c r="AK12" s="264"/>
      <c r="AL12" s="264"/>
      <c r="AM12" s="265"/>
    </row>
    <row r="13" spans="2:40" ht="12.75" customHeight="1">
      <c r="B13" s="19"/>
      <c r="C13" s="19"/>
      <c r="D13" s="19"/>
      <c r="E13" s="19"/>
      <c r="F13" s="19"/>
      <c r="G13" s="19"/>
      <c r="H13" s="19"/>
      <c r="I13" s="19"/>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19"/>
      <c r="C14" s="19"/>
      <c r="D14" s="19"/>
      <c r="E14" s="19"/>
      <c r="F14" s="19"/>
      <c r="G14" s="19"/>
      <c r="H14" s="19"/>
      <c r="I14" s="19"/>
      <c r="J14" s="3"/>
      <c r="K14" s="3"/>
      <c r="L14" s="3"/>
      <c r="M14" s="3"/>
      <c r="N14" s="3"/>
      <c r="O14" s="3"/>
      <c r="P14" s="3"/>
      <c r="Q14" s="3"/>
      <c r="R14" s="3"/>
      <c r="W14" s="285" t="str">
        <f>HLOOKUP(W6,Data!4:6,3,FALSE)</f>
        <v>www.gov.uk</v>
      </c>
      <c r="X14" s="286"/>
      <c r="Y14" s="286"/>
      <c r="Z14" s="286"/>
      <c r="AA14" s="286"/>
      <c r="AB14" s="286"/>
      <c r="AC14" s="286"/>
      <c r="AD14" s="286"/>
      <c r="AE14" s="286"/>
      <c r="AF14" s="286"/>
      <c r="AG14" s="286"/>
      <c r="AH14" s="286"/>
      <c r="AI14" s="286"/>
      <c r="AJ14" s="286"/>
      <c r="AK14" s="286"/>
      <c r="AL14" s="286"/>
      <c r="AM14" s="287"/>
    </row>
    <row r="15" spans="2:40"/>
    <row r="16" spans="2:40">
      <c r="B16" s="293" t="str">
        <f>W6&amp;" - "&amp;W12</f>
        <v>Major Developments - % decisions in time - 2024 Q2</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5"/>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1" t="s">
        <v>340</v>
      </c>
      <c r="F32" s="302"/>
      <c r="G32" s="302"/>
      <c r="H32" s="302"/>
      <c r="I32" s="302"/>
      <c r="J32" s="302"/>
      <c r="K32" s="275">
        <f>IF('Filtered Data'!$H$8="..",'Filtered Data'!O10,'Filtered Data'!O10/100)</f>
        <v>1</v>
      </c>
      <c r="L32" s="275"/>
      <c r="M32" s="275"/>
      <c r="N32" s="274" t="s">
        <v>351</v>
      </c>
      <c r="O32" s="274"/>
      <c r="P32" s="274"/>
      <c r="Q32" s="274"/>
      <c r="R32" s="274"/>
      <c r="S32" s="274"/>
      <c r="T32" s="275">
        <f>IF('Filtered Data'!$H$8="..",'Filtered Data'!P10,'Filtered Data'!P10/100)</f>
        <v>0.96212121212121215</v>
      </c>
      <c r="U32" s="275"/>
      <c r="V32" s="275"/>
      <c r="W32" s="275"/>
      <c r="X32" s="299" t="s">
        <v>352</v>
      </c>
      <c r="Y32" s="299"/>
      <c r="Z32" s="299"/>
      <c r="AA32" s="299"/>
      <c r="AB32" s="299"/>
      <c r="AC32" s="275">
        <f>IF('Filtered Data'!$H$8="..",'Filtered Data'!Q10,'Filtered Data'!Q10/100)</f>
        <v>0.85440613026819934</v>
      </c>
      <c r="AD32" s="275"/>
      <c r="AE32" s="275"/>
      <c r="AF32" s="266" t="s">
        <v>341</v>
      </c>
      <c r="AG32" s="266"/>
      <c r="AH32" s="266"/>
      <c r="AI32" s="266"/>
      <c r="AJ32" s="266"/>
      <c r="AK32" s="266"/>
      <c r="AL32" s="266"/>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92">
        <f>IF(ISERROR(IF('Filtered Data'!$H$8="%.",(VLOOKUP(J5,'Filtered Data'!C:H,4,FALSE))/100,(VLOOKUP(J5,'Filtered Data'!C:H,4,FALSE)))),"",(IF('Filtered Data'!$H$8="%.",(VLOOKUP(J5,'Filtered Data'!C:H,4,FALSE))/100,(VLOOKUP(J5,'Filtered Data'!C:H,4,FALSE)))))</f>
        <v>0.91666666666666652</v>
      </c>
      <c r="M35" s="292"/>
      <c r="N35" s="292"/>
      <c r="O35" s="292"/>
      <c r="P35" s="92"/>
      <c r="Q35" s="292" t="s">
        <v>353</v>
      </c>
      <c r="R35" s="292"/>
      <c r="S35" s="292"/>
      <c r="T35" s="292"/>
      <c r="U35" s="292"/>
      <c r="V35" s="292"/>
      <c r="W35" s="292"/>
      <c r="AP35" s="56"/>
    </row>
    <row r="36" spans="2:16384" ht="12.75" customHeight="1">
      <c r="B36" s="291" t="str">
        <f>'Filtered Data'!R8&amp;" Quartile"</f>
        <v>Third Quartile</v>
      </c>
      <c r="C36" s="291"/>
      <c r="D36" s="291"/>
      <c r="E36" s="291"/>
      <c r="F36" s="291"/>
      <c r="G36" s="291"/>
      <c r="H36" s="291"/>
      <c r="I36" s="291"/>
      <c r="J36" s="291"/>
      <c r="K36" s="291"/>
      <c r="L36" s="291"/>
      <c r="M36" s="291"/>
      <c r="N36" s="291"/>
      <c r="O36" s="291"/>
      <c r="P36" s="291"/>
      <c r="Q36" s="291"/>
      <c r="R36" s="291"/>
      <c r="S36" s="291"/>
      <c r="T36" s="291"/>
      <c r="U36" s="291"/>
      <c r="V36" s="291"/>
      <c r="W36" s="291"/>
      <c r="Z36" s="17" t="s">
        <v>357</v>
      </c>
      <c r="AB36" s="278" t="s">
        <v>359</v>
      </c>
      <c r="AC36" s="278"/>
      <c r="AD36" s="278"/>
      <c r="AE36" s="278"/>
      <c r="AF36" s="278"/>
      <c r="AG36" s="278"/>
      <c r="AH36" s="278"/>
      <c r="AI36" s="278"/>
      <c r="AJ36" s="278"/>
      <c r="AK36" s="278"/>
      <c r="AL36" s="278"/>
      <c r="AM36" s="110"/>
      <c r="AP36" s="56"/>
    </row>
    <row r="37" spans="2:16384" ht="12.75" customHeight="1">
      <c r="B37" s="93" t="str">
        <f>VLOOKUP('Filtered Data'!D1,'Filtered Data'!L1:O6,2,FALSE)</f>
        <v>Unitaries</v>
      </c>
      <c r="C37" s="93"/>
      <c r="D37" s="93"/>
      <c r="E37" s="93"/>
      <c r="F37" s="93"/>
      <c r="G37" s="93"/>
      <c r="H37" s="93"/>
      <c r="I37" s="93"/>
      <c r="J37" s="239" t="s">
        <v>798</v>
      </c>
      <c r="K37" s="94" t="str">
        <f>IF(Q37="","",IF('Filtered Data'!I8="D",IF($L$35&gt;=L37,"J","L"),IF('Filtered Data'!I8="A",IF($L$35&lt;=L37,"J","L"))))</f>
        <v>L</v>
      </c>
      <c r="L37" s="268">
        <f>'Filtered Data'!M9</f>
        <v>0.92196160187098175</v>
      </c>
      <c r="M37" s="268"/>
      <c r="N37" s="268"/>
      <c r="O37" s="268"/>
      <c r="P37" s="95"/>
      <c r="Q37" s="259">
        <f>VLOOKUP(J5,'Filtered Data'!C:I,7,FALSE)</f>
        <v>38</v>
      </c>
      <c r="R37" s="259"/>
      <c r="S37" s="96"/>
      <c r="T37" s="97" t="s">
        <v>354</v>
      </c>
      <c r="U37" s="98"/>
      <c r="V37" s="259">
        <f>COUNT('Filtered Data'!I11:I333)</f>
        <v>62</v>
      </c>
      <c r="W37" s="259"/>
      <c r="AB37" s="278"/>
      <c r="AC37" s="278"/>
      <c r="AD37" s="278"/>
      <c r="AE37" s="278"/>
      <c r="AF37" s="278"/>
      <c r="AG37" s="278"/>
      <c r="AH37" s="278"/>
      <c r="AI37" s="278"/>
      <c r="AJ37" s="278"/>
      <c r="AK37" s="278"/>
      <c r="AL37" s="278"/>
      <c r="AM37" s="110"/>
      <c r="AP37" s="56"/>
    </row>
    <row r="38" spans="2:16384">
      <c r="B38" s="93" t="str">
        <f>IF('Filtered Data'!D1="L","Family",IF('Filtered Data'!D1="SD",VLOOKUP(J5,classifications!C:J,6,FALSE),"Rural"))</f>
        <v>Rural</v>
      </c>
      <c r="C38" s="93"/>
      <c r="D38" s="93"/>
      <c r="E38" s="93"/>
      <c r="F38" s="93"/>
      <c r="G38" s="93"/>
      <c r="H38" s="93"/>
      <c r="I38" s="93"/>
      <c r="J38" s="240"/>
      <c r="K38" s="94" t="str">
        <f>IF(Q38="","",IF('Filtered Data'!I8="D",IF($L$35&gt;=L38,"J","L"),IF('Filtered Data'!I8="A",IF($L$35&lt;=L38,"J","L"))))</f>
        <v>L</v>
      </c>
      <c r="L38" s="268">
        <f>IF('Filtered Data'!D1="L",'Filtered Data'!AG9,'Filtered Data'!Y9)</f>
        <v>0.91750077303810496</v>
      </c>
      <c r="M38" s="268"/>
      <c r="N38" s="268"/>
      <c r="O38" s="268"/>
      <c r="P38" s="95"/>
      <c r="Q38" s="277">
        <f>IF(ISERROR(IF('Filtered Data'!D1="L",VLOOKUP(J5,'Filtered Data'!AF11:AH25,3,FALSE),VLOOKUP(J5,'Filtered Data'!$L$11:$Z$333,15,FALSE))),"",(IF('Filtered Data'!D1="L",VLOOKUP(J5,'Filtered Data'!AF11:AH25,3,FALSE),VLOOKUP(J5,'Filtered Data'!$L$11:$Z$333,15,FALSE))))</f>
        <v>15</v>
      </c>
      <c r="R38" s="277"/>
      <c r="S38" s="267" t="s">
        <v>354</v>
      </c>
      <c r="T38" s="268"/>
      <c r="U38" s="268"/>
      <c r="V38" s="259">
        <f>IF('Filtered Data'!D1="L",16,COUNT('Filtered Data'!Z:Z))</f>
        <v>25</v>
      </c>
      <c r="W38" s="25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240"/>
      <c r="K39" s="94" t="str">
        <f>IF(Q39="","",IF('Filtered Data'!I8="D",IF($L$35&gt;=L39,"J","L"),IF('Filtered Data'!I8="A",IF($L$35&lt;=L39,"J","L"))))</f>
        <v>J</v>
      </c>
      <c r="L39" s="268">
        <f>IF('Filtered Data'!D1="L","",IF('Filtered Data'!D1="SD",'Filtered Data'!AJ9,'Filtered Data'!AQ9))</f>
        <v>0.91354166666666659</v>
      </c>
      <c r="M39" s="268"/>
      <c r="N39" s="268"/>
      <c r="O39" s="268"/>
      <c r="P39" s="95"/>
      <c r="Q39" s="259">
        <f>IF(ISERROR(IF('Filtered Data'!D1="L","",IF('Filtered Data'!D1="SD",VLOOKUP(J5,'Filtered Data'!L:AK,26,FALSE),(VLOOKUP(J5,'Filtered Data'!L:AR,33,FALSE))))),"",(IF('Filtered Data'!D1="L","",IF('Filtered Data'!D1="SD",VLOOKUP(J5,'Filtered Data'!L:AK,26,FALSE),(VLOOKUP(J5,'Filtered Data'!L:AR,33,FALSE))))))</f>
        <v>5</v>
      </c>
      <c r="R39" s="259"/>
      <c r="S39" s="96"/>
      <c r="T39" s="98" t="str">
        <f>IF(B39="","","out of")</f>
        <v>out of</v>
      </c>
      <c r="U39" s="98"/>
      <c r="V39" s="259">
        <f>IF('Filtered Data'!D1="L","",IF('Filtered Data'!D1="SD",COUNT('Filtered Data'!AK11:AK333),(COUNT('Filtered Data'!AQ11:AQ333))))</f>
        <v>8</v>
      </c>
      <c r="W39" s="259"/>
      <c r="Z39" s="11" t="s">
        <v>358</v>
      </c>
      <c r="AB39" s="278" t="s">
        <v>360</v>
      </c>
      <c r="AC39" s="278"/>
      <c r="AD39" s="278"/>
      <c r="AE39" s="278"/>
      <c r="AF39" s="278"/>
      <c r="AG39" s="278"/>
      <c r="AH39" s="278"/>
      <c r="AI39" s="278"/>
      <c r="AJ39" s="278"/>
      <c r="AK39" s="278"/>
      <c r="AL39" s="278"/>
      <c r="AM39" s="278"/>
      <c r="AP39" s="56"/>
    </row>
    <row r="40" spans="2:16384" ht="12.75" customHeight="1">
      <c r="B40" s="106"/>
      <c r="C40" s="106"/>
      <c r="D40" s="106"/>
      <c r="E40" s="106"/>
      <c r="F40" s="106"/>
      <c r="G40" s="106"/>
      <c r="H40" s="106"/>
      <c r="I40" s="106"/>
      <c r="J40" s="105"/>
      <c r="K40" s="107"/>
      <c r="L40" s="269"/>
      <c r="M40" s="269"/>
      <c r="N40" s="269"/>
      <c r="O40" s="269"/>
      <c r="P40" s="108"/>
      <c r="Q40" s="270"/>
      <c r="R40" s="270"/>
      <c r="S40" s="269"/>
      <c r="T40" s="273"/>
      <c r="U40" s="273"/>
      <c r="V40" s="270"/>
      <c r="W40" s="270"/>
      <c r="AB40" s="278"/>
      <c r="AC40" s="278"/>
      <c r="AD40" s="278"/>
      <c r="AE40" s="278"/>
      <c r="AF40" s="278"/>
      <c r="AG40" s="278"/>
      <c r="AH40" s="278"/>
      <c r="AI40" s="278"/>
      <c r="AJ40" s="278"/>
      <c r="AK40" s="278"/>
      <c r="AL40" s="278"/>
      <c r="AM40" s="278"/>
      <c r="AP40" s="56"/>
    </row>
    <row r="41" spans="2:16384">
      <c r="B41" s="225"/>
      <c r="C41" s="225"/>
      <c r="D41" s="225"/>
      <c r="E41" s="225"/>
      <c r="F41" s="225"/>
      <c r="G41" s="225"/>
      <c r="H41" s="225"/>
      <c r="I41" s="225"/>
      <c r="J41" s="105"/>
      <c r="K41" s="226" t="str">
        <f>IF(B41="","",IF('Filtered Data'!D1="UA","",(IF($L$35&gt;=L41,"J","L"))))</f>
        <v/>
      </c>
      <c r="L41" s="260"/>
      <c r="M41" s="260"/>
      <c r="N41" s="260"/>
      <c r="O41" s="260"/>
      <c r="P41" s="227"/>
      <c r="Q41" s="271"/>
      <c r="R41" s="271"/>
      <c r="S41" s="276"/>
      <c r="T41" s="276"/>
      <c r="U41" s="276"/>
      <c r="V41" s="271"/>
      <c r="W41" s="271"/>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5" t="s">
        <v>356</v>
      </c>
      <c r="C43" s="256"/>
      <c r="D43" s="256"/>
      <c r="E43" s="256"/>
      <c r="F43" s="256"/>
      <c r="G43" s="256"/>
      <c r="H43" s="256"/>
      <c r="I43" s="256"/>
      <c r="J43" s="256"/>
      <c r="K43" s="256"/>
      <c r="L43" s="256"/>
      <c r="M43" s="256"/>
      <c r="N43" s="256"/>
      <c r="O43" s="251" t="str">
        <f>W6&amp;" - "&amp;W12</f>
        <v>Major Developments - % decisions in time - 2024 Q2</v>
      </c>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2"/>
      <c r="AP43" s="56"/>
    </row>
    <row r="44" spans="2:16384">
      <c r="B44" s="257"/>
      <c r="C44" s="258"/>
      <c r="D44" s="258"/>
      <c r="E44" s="258"/>
      <c r="F44" s="258"/>
      <c r="G44" s="258"/>
      <c r="H44" s="258"/>
      <c r="I44" s="258"/>
      <c r="J44" s="258"/>
      <c r="K44" s="258"/>
      <c r="L44" s="258"/>
      <c r="M44" s="258"/>
      <c r="N44" s="258"/>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61">
        <f>IF('Filtered Data'!$H$8="..",L35,L35*100)</f>
        <v>91.666666666666657</v>
      </c>
      <c r="F48" s="261"/>
      <c r="G48" s="261"/>
      <c r="H48" s="261"/>
      <c r="K48" s="235">
        <f>IF('Filtered Data'!$H$8="..",K$32,K$32*100)</f>
        <v>100</v>
      </c>
      <c r="L48" s="235"/>
      <c r="M48" s="235">
        <f>IF('Filtered Data'!$H$8="..",T$32,T$32*100)</f>
        <v>96.212121212121218</v>
      </c>
      <c r="N48" s="235"/>
      <c r="O48" s="235">
        <f>IF('Filtered Data'!$H$8="..",AC$32,AC$32*100)</f>
        <v>85.440613026819932</v>
      </c>
      <c r="P48" s="235"/>
      <c r="AM48" s="6"/>
      <c r="AP48" s="56"/>
    </row>
    <row r="49" spans="2:42">
      <c r="B49" s="5"/>
      <c r="D49" t="str">
        <f>B37</f>
        <v>Unitaries</v>
      </c>
      <c r="E49" s="261">
        <f>IF('Filtered Data'!$H$8="..",L37,L37*100)</f>
        <v>92.196160187098172</v>
      </c>
      <c r="F49" s="261"/>
      <c r="G49" s="261"/>
      <c r="H49" s="261"/>
      <c r="K49" s="235">
        <f>IF('Filtered Data'!$H$8="..",K$32,K$32*100)</f>
        <v>100</v>
      </c>
      <c r="L49" s="235"/>
      <c r="M49" s="235">
        <f>IF('Filtered Data'!$H$8="..",T$32,T$32*100)</f>
        <v>96.212121212121218</v>
      </c>
      <c r="N49" s="235"/>
      <c r="O49" s="235">
        <f>IF('Filtered Data'!$H$8="..",AC$32,AC$32*100)</f>
        <v>85.440613026819932</v>
      </c>
      <c r="P49" s="235"/>
      <c r="AM49" s="6"/>
      <c r="AP49" s="56"/>
    </row>
    <row r="50" spans="2:42">
      <c r="B50" s="5"/>
      <c r="D50" s="64" t="str">
        <f>B39</f>
        <v>Regional</v>
      </c>
      <c r="E50" s="261">
        <f>IF('Filtered Data'!$H$8="..",L39,L39*100)</f>
        <v>91.354166666666657</v>
      </c>
      <c r="F50" s="261"/>
      <c r="G50" s="261"/>
      <c r="H50" s="261"/>
      <c r="K50" s="235">
        <f>IF('Filtered Data'!$H$8="..",K$32,K$32*100)</f>
        <v>100</v>
      </c>
      <c r="L50" s="235"/>
      <c r="M50" s="235">
        <f>IF('Filtered Data'!$H$8="..",T$32,T$32*100)</f>
        <v>96.212121212121218</v>
      </c>
      <c r="N50" s="235"/>
      <c r="O50" s="235">
        <f>IF('Filtered Data'!$H$8="..",AC$32,AC$32*100)</f>
        <v>85.440613026819932</v>
      </c>
      <c r="P50" s="235"/>
      <c r="AM50" s="6"/>
      <c r="AP50" s="56"/>
    </row>
    <row r="51" spans="2:42">
      <c r="B51" s="5"/>
      <c r="D51" s="228" t="str">
        <f>B38</f>
        <v>Rural</v>
      </c>
      <c r="E51" s="261">
        <f>IF('Filtered Data'!$H$8="..",L38,L38*100)</f>
        <v>91.7500773038105</v>
      </c>
      <c r="F51" s="261"/>
      <c r="G51" s="261"/>
      <c r="H51" s="261"/>
      <c r="K51" s="235">
        <f>IF('Filtered Data'!$H$8="..",K$32,K$32*100)</f>
        <v>100</v>
      </c>
      <c r="L51" s="235"/>
      <c r="M51" s="235">
        <f>IF('Filtered Data'!$H$8="..",T$32,T$32*100)</f>
        <v>96.212121212121218</v>
      </c>
      <c r="N51" s="235"/>
      <c r="O51" s="235">
        <f>IF('Filtered Data'!$H$8="..",AC$32,AC$32*100)</f>
        <v>85.440613026819932</v>
      </c>
      <c r="P51" s="235"/>
      <c r="AM51" s="6"/>
      <c r="AP51" s="56"/>
    </row>
    <row r="52" spans="2:42">
      <c r="B52" s="5"/>
      <c r="E52" s="261"/>
      <c r="F52" s="261"/>
      <c r="G52" s="261"/>
      <c r="H52" s="261"/>
      <c r="K52" s="235"/>
      <c r="L52" s="235"/>
      <c r="M52" s="235"/>
      <c r="N52" s="235"/>
      <c r="O52" s="235"/>
      <c r="P52" s="235"/>
      <c r="AM52" s="6"/>
      <c r="AP52" s="56"/>
    </row>
    <row r="53" spans="2:42">
      <c r="B53" s="5"/>
      <c r="E53" s="262"/>
      <c r="F53" s="262"/>
      <c r="G53" s="262"/>
      <c r="H53" s="262"/>
      <c r="K53" s="235"/>
      <c r="L53" s="235"/>
      <c r="M53" s="235"/>
      <c r="N53" s="235"/>
      <c r="O53" s="235"/>
      <c r="P53" s="235"/>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7" t="str">
        <f>B3</f>
        <v>Planning Application Turnaround</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P59" s="56"/>
    </row>
    <row r="60" spans="2:42">
      <c r="AP60" s="56"/>
    </row>
    <row r="61" spans="2:42" ht="12" customHeight="1">
      <c r="B61" s="1" t="str">
        <f>W6&amp;" - "&amp;W12</f>
        <v>Major Developments - % decisions in time - 2024 Q2</v>
      </c>
      <c r="AP61" s="56"/>
    </row>
    <row r="62" spans="2:42" ht="12" customHeight="1">
      <c r="AP62" s="56"/>
    </row>
    <row r="63" spans="2:42" ht="12" customHeight="1">
      <c r="B63" s="1" t="s">
        <v>362</v>
      </c>
      <c r="AP63" s="56"/>
    </row>
    <row r="64" spans="2:42" ht="12" customHeight="1">
      <c r="AP64" s="56"/>
    </row>
    <row r="65" spans="2:42" ht="12" customHeight="1">
      <c r="B65" s="246" t="s">
        <v>353</v>
      </c>
      <c r="C65" s="246"/>
      <c r="D65" s="246"/>
      <c r="E65" s="234" t="s">
        <v>333</v>
      </c>
      <c r="F65" s="234"/>
      <c r="G65" s="234"/>
      <c r="H65" s="234"/>
      <c r="I65" s="234"/>
      <c r="J65" s="234"/>
      <c r="K65" s="234"/>
      <c r="L65" s="234"/>
      <c r="M65" s="234"/>
      <c r="N65" s="234"/>
      <c r="O65" s="234"/>
      <c r="P65" s="234"/>
      <c r="Q65" s="234"/>
      <c r="R65" s="234"/>
      <c r="S65" s="234"/>
      <c r="T65" s="234"/>
      <c r="U65" s="246" t="s">
        <v>363</v>
      </c>
      <c r="V65" s="246"/>
      <c r="W65" s="246"/>
      <c r="X65" s="246"/>
      <c r="Y65" s="1"/>
      <c r="Z65" s="1"/>
      <c r="AA65" s="1"/>
      <c r="AB65" s="1"/>
      <c r="AC65" s="4"/>
      <c r="AD65" s="1"/>
      <c r="AE65" s="1"/>
      <c r="AF65" s="1"/>
      <c r="AG65" s="1"/>
      <c r="AI65" s="1"/>
      <c r="AJ65" s="1"/>
      <c r="AK65" s="1"/>
      <c r="AL65" s="1"/>
      <c r="AP65" s="56"/>
    </row>
    <row r="66" spans="2:42" ht="12" customHeight="1">
      <c r="B66" s="243">
        <v>1</v>
      </c>
      <c r="C66" s="235"/>
      <c r="D66" s="235"/>
      <c r="E66" s="233" t="str">
        <f>VLOOKUP(B66,'Filtered Data'!K:L,2,FALSE)</f>
        <v>Bath &amp; North East Somerset</v>
      </c>
      <c r="F66" s="233"/>
      <c r="G66" s="233"/>
      <c r="H66" s="233"/>
      <c r="I66" s="233"/>
      <c r="J66" s="233"/>
      <c r="K66" s="233"/>
      <c r="L66" s="233"/>
      <c r="M66" s="233"/>
      <c r="N66" s="233"/>
      <c r="O66" s="233"/>
      <c r="P66" s="233"/>
      <c r="Q66" s="233"/>
      <c r="R66" s="233"/>
      <c r="S66" s="233"/>
      <c r="T66" s="233"/>
      <c r="U66" s="238">
        <f>IF('Filtered Data'!$H$8="%.",(VLOOKUP(B66,'Filtered Data'!K:M,3,FALSE))/100,VLOOKUP(B66,'Filtered Data'!K:M,3,FALSE))</f>
        <v>1</v>
      </c>
      <c r="V66" s="238"/>
      <c r="W66" s="238"/>
      <c r="X66" s="238"/>
      <c r="Y66" s="132" t="str">
        <f>IF((VLOOKUP(E66,classifications!C:K,9,FALSE))="Sparse","S","")</f>
        <v/>
      </c>
      <c r="Z66" s="132"/>
      <c r="AA66" s="132"/>
      <c r="AB66" s="132"/>
      <c r="AC66" s="132"/>
      <c r="AD66" s="250"/>
      <c r="AE66" s="250"/>
      <c r="AF66" s="250"/>
      <c r="AG66" s="250"/>
      <c r="AH66" s="250"/>
      <c r="AI66" s="250"/>
      <c r="AJ66" s="250"/>
      <c r="AK66" s="250"/>
      <c r="AL66" s="250"/>
      <c r="AP66" s="56"/>
    </row>
    <row r="67" spans="2:42" ht="12" customHeight="1">
      <c r="B67" s="243">
        <v>2</v>
      </c>
      <c r="C67" s="235"/>
      <c r="D67" s="235"/>
      <c r="E67" s="233" t="str">
        <f>VLOOKUP(B67,'Filtered Data'!K:L,2,FALSE)</f>
        <v>Bedford</v>
      </c>
      <c r="F67" s="233"/>
      <c r="G67" s="233"/>
      <c r="H67" s="233"/>
      <c r="I67" s="233"/>
      <c r="J67" s="233"/>
      <c r="K67" s="233"/>
      <c r="L67" s="233"/>
      <c r="M67" s="233"/>
      <c r="N67" s="233"/>
      <c r="O67" s="233"/>
      <c r="P67" s="233"/>
      <c r="Q67" s="233"/>
      <c r="R67" s="233"/>
      <c r="S67" s="233"/>
      <c r="T67" s="233"/>
      <c r="U67" s="238">
        <f>IF('Filtered Data'!$H$8="%.",(VLOOKUP(B67,'Filtered Data'!K:M,3,FALSE))/100,VLOOKUP(B67,'Filtered Data'!K:M,3,FALSE))</f>
        <v>1</v>
      </c>
      <c r="V67" s="238"/>
      <c r="W67" s="238"/>
      <c r="X67" s="238"/>
      <c r="Y67" s="132" t="str">
        <f>IF((VLOOKUP(E67,classifications!C:K,9,FALSE))="Sparse","S","")</f>
        <v/>
      </c>
      <c r="Z67" s="132"/>
      <c r="AA67" s="132"/>
      <c r="AB67" s="132"/>
      <c r="AC67" s="132"/>
      <c r="AD67" s="250"/>
      <c r="AE67" s="250"/>
      <c r="AF67" s="250"/>
      <c r="AG67" s="250"/>
      <c r="AH67" s="250"/>
      <c r="AI67" s="250"/>
      <c r="AJ67" s="250"/>
      <c r="AK67" s="250"/>
      <c r="AL67" s="250"/>
      <c r="AP67" s="56"/>
    </row>
    <row r="68" spans="2:42" ht="12" customHeight="1">
      <c r="B68" s="243">
        <v>3</v>
      </c>
      <c r="C68" s="235"/>
      <c r="D68" s="235"/>
      <c r="E68" s="233" t="str">
        <f>VLOOKUP(B68,'Filtered Data'!K:L,2,FALSE)</f>
        <v>Blackburn with Darwen</v>
      </c>
      <c r="F68" s="233"/>
      <c r="G68" s="233"/>
      <c r="H68" s="233"/>
      <c r="I68" s="233"/>
      <c r="J68" s="233"/>
      <c r="K68" s="233"/>
      <c r="L68" s="233"/>
      <c r="M68" s="233"/>
      <c r="N68" s="233"/>
      <c r="O68" s="233"/>
      <c r="P68" s="233"/>
      <c r="Q68" s="233"/>
      <c r="R68" s="233"/>
      <c r="S68" s="233"/>
      <c r="T68" s="233"/>
      <c r="U68" s="238">
        <f>IF('Filtered Data'!$H$8="%.",(VLOOKUP(B68,'Filtered Data'!K:M,3,FALSE))/100,VLOOKUP(B68,'Filtered Data'!K:M,3,FALSE))</f>
        <v>1</v>
      </c>
      <c r="V68" s="238"/>
      <c r="W68" s="238"/>
      <c r="X68" s="238"/>
      <c r="Y68" s="132" t="str">
        <f>IF((VLOOKUP(E68,classifications!C:K,9,FALSE))="Sparse","S","")</f>
        <v/>
      </c>
      <c r="Z68" s="132"/>
      <c r="AA68" s="132"/>
      <c r="AB68" s="132"/>
      <c r="AC68" s="132"/>
      <c r="AD68" s="250"/>
      <c r="AE68" s="250"/>
      <c r="AF68" s="250"/>
      <c r="AG68" s="250"/>
      <c r="AH68" s="250"/>
      <c r="AI68" s="250"/>
      <c r="AJ68" s="250"/>
      <c r="AK68" s="250"/>
      <c r="AL68" s="250"/>
      <c r="AP68" s="56"/>
    </row>
    <row r="69" spans="2:42" ht="12" customHeight="1">
      <c r="B69" s="243">
        <v>4</v>
      </c>
      <c r="C69" s="235"/>
      <c r="D69" s="235"/>
      <c r="E69" s="233" t="str">
        <f>VLOOKUP(B69,'Filtered Data'!K:L,2,FALSE)</f>
        <v>Bracknell Forest</v>
      </c>
      <c r="F69" s="233"/>
      <c r="G69" s="233"/>
      <c r="H69" s="233"/>
      <c r="I69" s="233"/>
      <c r="J69" s="233"/>
      <c r="K69" s="233"/>
      <c r="L69" s="233"/>
      <c r="M69" s="233"/>
      <c r="N69" s="233"/>
      <c r="O69" s="233"/>
      <c r="P69" s="233"/>
      <c r="Q69" s="233"/>
      <c r="R69" s="233"/>
      <c r="S69" s="233"/>
      <c r="T69" s="233"/>
      <c r="U69" s="238">
        <f>IF('Filtered Data'!$H$8="%.",(VLOOKUP(B69,'Filtered Data'!K:M,3,FALSE))/100,VLOOKUP(B69,'Filtered Data'!K:M,3,FALSE))</f>
        <v>1</v>
      </c>
      <c r="V69" s="238"/>
      <c r="W69" s="238"/>
      <c r="X69" s="238"/>
      <c r="Y69" s="132" t="str">
        <f>IF((VLOOKUP(E69,classifications!C:K,9,FALSE))="Sparse","S","")</f>
        <v/>
      </c>
      <c r="Z69" s="132"/>
      <c r="AA69" s="132"/>
      <c r="AB69" s="132"/>
      <c r="AC69" s="132"/>
      <c r="AD69" s="250"/>
      <c r="AE69" s="250"/>
      <c r="AF69" s="250"/>
      <c r="AG69" s="250"/>
      <c r="AH69" s="250"/>
      <c r="AI69" s="250"/>
      <c r="AJ69" s="250"/>
      <c r="AK69" s="250"/>
      <c r="AL69" s="250"/>
      <c r="AP69" s="56"/>
    </row>
    <row r="70" spans="2:42" ht="12" customHeight="1">
      <c r="B70" s="243">
        <v>5</v>
      </c>
      <c r="C70" s="235"/>
      <c r="D70" s="235"/>
      <c r="E70" s="233" t="str">
        <f>VLOOKUP(B70,'Filtered Data'!K:L,2,FALSE)</f>
        <v>Cheshire West &amp; Chester</v>
      </c>
      <c r="F70" s="233"/>
      <c r="G70" s="233"/>
      <c r="H70" s="233"/>
      <c r="I70" s="233"/>
      <c r="J70" s="233"/>
      <c r="K70" s="233"/>
      <c r="L70" s="233"/>
      <c r="M70" s="233"/>
      <c r="N70" s="233"/>
      <c r="O70" s="233"/>
      <c r="P70" s="233"/>
      <c r="Q70" s="233"/>
      <c r="R70" s="233"/>
      <c r="S70" s="233"/>
      <c r="T70" s="233"/>
      <c r="U70" s="238">
        <f>IF('Filtered Data'!$H$8="%.",(VLOOKUP(B70,'Filtered Data'!K:M,3,FALSE))/100,VLOOKUP(B70,'Filtered Data'!K:M,3,FALSE))</f>
        <v>1</v>
      </c>
      <c r="V70" s="238"/>
      <c r="W70" s="238"/>
      <c r="X70" s="238"/>
      <c r="Y70" s="132" t="str">
        <f>IF((VLOOKUP(E70,classifications!C:K,9,FALSE))="Sparse","S","")</f>
        <v/>
      </c>
      <c r="Z70" s="132"/>
      <c r="AA70" s="132"/>
      <c r="AB70" s="132"/>
      <c r="AC70" s="132"/>
      <c r="AD70" s="250"/>
      <c r="AE70" s="250"/>
      <c r="AF70" s="250"/>
      <c r="AG70" s="250"/>
      <c r="AH70" s="250"/>
      <c r="AI70" s="250"/>
      <c r="AJ70" s="250"/>
      <c r="AK70" s="250"/>
      <c r="AL70" s="250"/>
      <c r="AP70" s="56"/>
    </row>
    <row r="71" spans="2:42" ht="12" customHeight="1">
      <c r="B71" s="243">
        <v>6</v>
      </c>
      <c r="C71" s="235"/>
      <c r="D71" s="235"/>
      <c r="E71" s="233" t="str">
        <f>VLOOKUP(B71,'Filtered Data'!K:L,2,FALSE)</f>
        <v>Cornwall</v>
      </c>
      <c r="F71" s="233"/>
      <c r="G71" s="233"/>
      <c r="H71" s="233"/>
      <c r="I71" s="233"/>
      <c r="J71" s="233"/>
      <c r="K71" s="233"/>
      <c r="L71" s="233"/>
      <c r="M71" s="233"/>
      <c r="N71" s="233"/>
      <c r="O71" s="233"/>
      <c r="P71" s="233"/>
      <c r="Q71" s="233"/>
      <c r="R71" s="233"/>
      <c r="S71" s="233"/>
      <c r="T71" s="233"/>
      <c r="U71" s="238">
        <f>IF('Filtered Data'!$H$8="%.",(VLOOKUP(B71,'Filtered Data'!K:M,3,FALSE))/100,VLOOKUP(B71,'Filtered Data'!K:M,3,FALSE))</f>
        <v>1</v>
      </c>
      <c r="V71" s="238"/>
      <c r="W71" s="238"/>
      <c r="X71" s="238"/>
      <c r="Y71" s="132" t="str">
        <f>IF((VLOOKUP(E71,classifications!C:K,9,FALSE))="Sparse","S","")</f>
        <v>S</v>
      </c>
      <c r="Z71" s="132"/>
      <c r="AA71" s="132"/>
      <c r="AB71" s="132"/>
      <c r="AC71" s="132"/>
      <c r="AD71" s="250"/>
      <c r="AE71" s="250"/>
      <c r="AF71" s="250"/>
      <c r="AG71" s="250"/>
      <c r="AH71" s="250"/>
      <c r="AI71" s="250"/>
      <c r="AJ71" s="250"/>
      <c r="AK71" s="250"/>
      <c r="AL71" s="250"/>
      <c r="AP71" s="56"/>
    </row>
    <row r="72" spans="2:42" ht="12" customHeight="1">
      <c r="B72" s="243">
        <v>7</v>
      </c>
      <c r="C72" s="235"/>
      <c r="D72" s="235"/>
      <c r="E72" s="233" t="str">
        <f>VLOOKUP(B72,'Filtered Data'!K:L,2,FALSE)</f>
        <v>Darlington</v>
      </c>
      <c r="F72" s="233"/>
      <c r="G72" s="233"/>
      <c r="H72" s="233"/>
      <c r="I72" s="233"/>
      <c r="J72" s="233"/>
      <c r="K72" s="233"/>
      <c r="L72" s="233"/>
      <c r="M72" s="233"/>
      <c r="N72" s="233"/>
      <c r="O72" s="233"/>
      <c r="P72" s="233"/>
      <c r="Q72" s="233"/>
      <c r="R72" s="233"/>
      <c r="S72" s="233"/>
      <c r="T72" s="233"/>
      <c r="U72" s="238">
        <f>IF('Filtered Data'!$H$8="%.",(VLOOKUP(B72,'Filtered Data'!K:M,3,FALSE))/100,VLOOKUP(B72,'Filtered Data'!K:M,3,FALSE))</f>
        <v>1</v>
      </c>
      <c r="V72" s="238"/>
      <c r="W72" s="238"/>
      <c r="X72" s="238"/>
      <c r="Y72" s="132" t="str">
        <f>IF((VLOOKUP(E72,classifications!C:K,9,FALSE))="Sparse","S","")</f>
        <v/>
      </c>
      <c r="Z72" s="132"/>
      <c r="AA72" s="132"/>
      <c r="AB72" s="132"/>
      <c r="AC72" s="132"/>
      <c r="AD72" s="250"/>
      <c r="AE72" s="250"/>
      <c r="AF72" s="250"/>
      <c r="AG72" s="250"/>
      <c r="AH72" s="250"/>
      <c r="AI72" s="250"/>
      <c r="AJ72" s="250"/>
      <c r="AK72" s="250"/>
      <c r="AL72" s="250"/>
      <c r="AP72" s="56"/>
    </row>
    <row r="73" spans="2:42" ht="12" customHeight="1">
      <c r="B73" s="243">
        <v>8</v>
      </c>
      <c r="C73" s="235"/>
      <c r="D73" s="235"/>
      <c r="E73" s="233" t="str">
        <f>VLOOKUP(B73,'Filtered Data'!K:L,2,FALSE)</f>
        <v>Dorset</v>
      </c>
      <c r="F73" s="233"/>
      <c r="G73" s="233"/>
      <c r="H73" s="233"/>
      <c r="I73" s="233"/>
      <c r="J73" s="233"/>
      <c r="K73" s="233"/>
      <c r="L73" s="233"/>
      <c r="M73" s="233"/>
      <c r="N73" s="233"/>
      <c r="O73" s="233"/>
      <c r="P73" s="233"/>
      <c r="Q73" s="233"/>
      <c r="R73" s="233"/>
      <c r="S73" s="233"/>
      <c r="T73" s="233"/>
      <c r="U73" s="238">
        <f>IF('Filtered Data'!$H$8="%.",(VLOOKUP(B73,'Filtered Data'!K:M,3,FALSE))/100,VLOOKUP(B73,'Filtered Data'!K:M,3,FALSE))</f>
        <v>1</v>
      </c>
      <c r="V73" s="238"/>
      <c r="W73" s="238"/>
      <c r="X73" s="238"/>
      <c r="Y73" s="132" t="str">
        <f>IF((VLOOKUP(E73,classifications!C:K,9,FALSE))="Sparse","S","")</f>
        <v/>
      </c>
      <c r="Z73" s="132"/>
      <c r="AA73" s="132"/>
      <c r="AB73" s="132"/>
      <c r="AC73" s="132"/>
      <c r="AD73" s="250"/>
      <c r="AE73" s="250"/>
      <c r="AF73" s="250"/>
      <c r="AG73" s="250"/>
      <c r="AH73" s="250"/>
      <c r="AI73" s="250"/>
      <c r="AJ73" s="250"/>
      <c r="AK73" s="250"/>
      <c r="AL73" s="250"/>
      <c r="AP73" s="56"/>
    </row>
    <row r="74" spans="2:42" ht="12" customHeight="1">
      <c r="B74" s="243">
        <v>9</v>
      </c>
      <c r="C74" s="235"/>
      <c r="D74" s="235"/>
      <c r="E74" s="233" t="str">
        <f>VLOOKUP(B74,'Filtered Data'!K:L,2,FALSE)</f>
        <v>Hartlepool</v>
      </c>
      <c r="F74" s="233"/>
      <c r="G74" s="233"/>
      <c r="H74" s="233"/>
      <c r="I74" s="233"/>
      <c r="J74" s="233"/>
      <c r="K74" s="233"/>
      <c r="L74" s="233"/>
      <c r="M74" s="233"/>
      <c r="N74" s="233"/>
      <c r="O74" s="233"/>
      <c r="P74" s="233"/>
      <c r="Q74" s="233"/>
      <c r="R74" s="233"/>
      <c r="S74" s="233"/>
      <c r="T74" s="233"/>
      <c r="U74" s="238">
        <f>IF('Filtered Data'!$H$8="%.",(VLOOKUP(B74,'Filtered Data'!K:M,3,FALSE))/100,VLOOKUP(B74,'Filtered Data'!K:M,3,FALSE))</f>
        <v>1</v>
      </c>
      <c r="V74" s="238"/>
      <c r="W74" s="238"/>
      <c r="X74" s="238"/>
      <c r="Y74" s="132" t="str">
        <f>IF((VLOOKUP(E74,classifications!C:K,9,FALSE))="Sparse","S","")</f>
        <v/>
      </c>
      <c r="Z74" s="132"/>
      <c r="AA74" s="132"/>
      <c r="AB74" s="132"/>
      <c r="AC74" s="132"/>
      <c r="AD74" s="250"/>
      <c r="AE74" s="250"/>
      <c r="AF74" s="250"/>
      <c r="AG74" s="250"/>
      <c r="AH74" s="250"/>
      <c r="AI74" s="250"/>
      <c r="AJ74" s="250"/>
      <c r="AK74" s="250"/>
      <c r="AL74" s="250"/>
      <c r="AP74" s="56"/>
    </row>
    <row r="75" spans="2:42" ht="12" customHeight="1">
      <c r="B75" s="243">
        <v>10</v>
      </c>
      <c r="C75" s="235"/>
      <c r="D75" s="235"/>
      <c r="E75" s="233" t="str">
        <f>VLOOKUP(B75,'Filtered Data'!K:L,2,FALSE)</f>
        <v>Herefordshire</v>
      </c>
      <c r="F75" s="233"/>
      <c r="G75" s="233"/>
      <c r="H75" s="233"/>
      <c r="I75" s="233"/>
      <c r="J75" s="233"/>
      <c r="K75" s="233"/>
      <c r="L75" s="233"/>
      <c r="M75" s="233"/>
      <c r="N75" s="233"/>
      <c r="O75" s="233"/>
      <c r="P75" s="233"/>
      <c r="Q75" s="233"/>
      <c r="R75" s="233"/>
      <c r="S75" s="233"/>
      <c r="T75" s="233"/>
      <c r="U75" s="238">
        <f>IF('Filtered Data'!$H$8="%.",(VLOOKUP(B75,'Filtered Data'!K:M,3,FALSE))/100,VLOOKUP(B75,'Filtered Data'!K:M,3,FALSE))</f>
        <v>1</v>
      </c>
      <c r="V75" s="238"/>
      <c r="W75" s="238"/>
      <c r="X75" s="238"/>
      <c r="Y75" s="132" t="str">
        <f>IF((VLOOKUP(E75,classifications!C:K,9,FALSE))="Sparse","S","")</f>
        <v>S</v>
      </c>
      <c r="Z75" s="132"/>
      <c r="AA75" s="132"/>
      <c r="AB75" s="132"/>
      <c r="AC75" s="132"/>
      <c r="AD75" s="250"/>
      <c r="AE75" s="250"/>
      <c r="AF75" s="250"/>
      <c r="AG75" s="250"/>
      <c r="AH75" s="250"/>
      <c r="AI75" s="250"/>
      <c r="AJ75" s="250"/>
      <c r="AK75" s="250"/>
      <c r="AL75" s="250"/>
      <c r="AP75" s="56"/>
    </row>
    <row r="76" spans="2:42" ht="12" customHeight="1">
      <c r="B76" s="243">
        <v>11</v>
      </c>
      <c r="C76" s="235"/>
      <c r="D76" s="235"/>
      <c r="E76" s="233" t="str">
        <f>VLOOKUP(B76,'Filtered Data'!K:L,2,FALSE)</f>
        <v>Kingston upon Hull</v>
      </c>
      <c r="F76" s="233"/>
      <c r="G76" s="233"/>
      <c r="H76" s="233"/>
      <c r="I76" s="233"/>
      <c r="J76" s="233"/>
      <c r="K76" s="233"/>
      <c r="L76" s="233"/>
      <c r="M76" s="233"/>
      <c r="N76" s="233"/>
      <c r="O76" s="233"/>
      <c r="P76" s="233"/>
      <c r="Q76" s="233"/>
      <c r="R76" s="233"/>
      <c r="S76" s="233"/>
      <c r="T76" s="233"/>
      <c r="U76" s="238">
        <f>IF('Filtered Data'!$H$8="%.",(VLOOKUP(B76,'Filtered Data'!K:M,3,FALSE))/100,VLOOKUP(B76,'Filtered Data'!K:M,3,FALSE))</f>
        <v>1</v>
      </c>
      <c r="V76" s="238"/>
      <c r="W76" s="238"/>
      <c r="X76" s="238"/>
      <c r="Y76" s="132" t="str">
        <f>IF((VLOOKUP(E76,classifications!C:K,9,FALSE))="Sparse","S","")</f>
        <v/>
      </c>
      <c r="Z76" s="132"/>
      <c r="AA76" s="132"/>
      <c r="AB76" s="132"/>
      <c r="AC76" s="132"/>
      <c r="AD76" s="250"/>
      <c r="AE76" s="250"/>
      <c r="AF76" s="250"/>
      <c r="AG76" s="250"/>
      <c r="AH76" s="250"/>
      <c r="AI76" s="250"/>
      <c r="AJ76" s="250"/>
      <c r="AK76" s="250"/>
      <c r="AL76" s="250"/>
      <c r="AP76" s="56"/>
    </row>
    <row r="77" spans="2:42" ht="12" customHeight="1">
      <c r="B77" s="243">
        <v>12</v>
      </c>
      <c r="C77" s="235"/>
      <c r="D77" s="235"/>
      <c r="E77" s="233" t="str">
        <f>VLOOKUP(B77,'Filtered Data'!K:L,2,FALSE)</f>
        <v>Leicester</v>
      </c>
      <c r="F77" s="233"/>
      <c r="G77" s="233"/>
      <c r="H77" s="233"/>
      <c r="I77" s="233"/>
      <c r="J77" s="233"/>
      <c r="K77" s="233"/>
      <c r="L77" s="233"/>
      <c r="M77" s="233"/>
      <c r="N77" s="233"/>
      <c r="O77" s="233"/>
      <c r="P77" s="233"/>
      <c r="Q77" s="233"/>
      <c r="R77" s="233"/>
      <c r="S77" s="233"/>
      <c r="T77" s="233"/>
      <c r="U77" s="238">
        <f>IF('Filtered Data'!$H$8="%.",(VLOOKUP(B77,'Filtered Data'!K:M,3,FALSE))/100,VLOOKUP(B77,'Filtered Data'!K:M,3,FALSE))</f>
        <v>1</v>
      </c>
      <c r="V77" s="238"/>
      <c r="W77" s="238"/>
      <c r="X77" s="238"/>
      <c r="Y77" s="132" t="str">
        <f>IF((VLOOKUP(E77,classifications!C:K,9,FALSE))="Sparse","S","")</f>
        <v/>
      </c>
      <c r="Z77" s="132"/>
      <c r="AA77" s="132"/>
      <c r="AB77" s="132"/>
      <c r="AC77" s="132"/>
      <c r="AD77" s="250"/>
      <c r="AE77" s="250"/>
      <c r="AF77" s="250"/>
      <c r="AG77" s="250"/>
      <c r="AH77" s="250"/>
      <c r="AI77" s="250"/>
      <c r="AJ77" s="250"/>
      <c r="AK77" s="250"/>
      <c r="AL77" s="250"/>
      <c r="AP77" s="56"/>
    </row>
    <row r="78" spans="2:42" ht="12" customHeight="1">
      <c r="B78" s="243">
        <v>13</v>
      </c>
      <c r="C78" s="235"/>
      <c r="D78" s="235"/>
      <c r="E78" s="233" t="str">
        <f>VLOOKUP(B78,'Filtered Data'!K:L,2,FALSE)</f>
        <v>Middlesbrough</v>
      </c>
      <c r="F78" s="233"/>
      <c r="G78" s="233"/>
      <c r="H78" s="233"/>
      <c r="I78" s="233"/>
      <c r="J78" s="233"/>
      <c r="K78" s="233"/>
      <c r="L78" s="233"/>
      <c r="M78" s="233"/>
      <c r="N78" s="233"/>
      <c r="O78" s="233"/>
      <c r="P78" s="233"/>
      <c r="Q78" s="233"/>
      <c r="R78" s="233"/>
      <c r="S78" s="233"/>
      <c r="T78" s="233"/>
      <c r="U78" s="238">
        <f>IF('Filtered Data'!$H$8="%.",(VLOOKUP(B78,'Filtered Data'!K:M,3,FALSE))/100,VLOOKUP(B78,'Filtered Data'!K:M,3,FALSE))</f>
        <v>1</v>
      </c>
      <c r="V78" s="238"/>
      <c r="W78" s="238"/>
      <c r="X78" s="238"/>
      <c r="Y78" s="132" t="str">
        <f>IF((VLOOKUP(E78,classifications!C:K,9,FALSE))="Sparse","S","")</f>
        <v/>
      </c>
      <c r="Z78" s="132"/>
      <c r="AA78" s="132"/>
      <c r="AB78" s="132"/>
      <c r="AC78" s="132"/>
      <c r="AD78" s="250"/>
      <c r="AE78" s="250"/>
      <c r="AF78" s="250"/>
      <c r="AG78" s="250"/>
      <c r="AH78" s="250"/>
      <c r="AI78" s="250"/>
      <c r="AJ78" s="250"/>
      <c r="AK78" s="250"/>
      <c r="AL78" s="250"/>
      <c r="AP78" s="56"/>
    </row>
    <row r="79" spans="2:42" ht="12" customHeight="1">
      <c r="B79" s="243">
        <v>14</v>
      </c>
      <c r="C79" s="235"/>
      <c r="D79" s="235"/>
      <c r="E79" s="233" t="str">
        <f>VLOOKUP(B79,'Filtered Data'!K:L,2,FALSE)</f>
        <v>Milton Keynes</v>
      </c>
      <c r="F79" s="233"/>
      <c r="G79" s="233"/>
      <c r="H79" s="233"/>
      <c r="I79" s="233"/>
      <c r="J79" s="233"/>
      <c r="K79" s="233"/>
      <c r="L79" s="233"/>
      <c r="M79" s="233"/>
      <c r="N79" s="233"/>
      <c r="O79" s="233"/>
      <c r="P79" s="233"/>
      <c r="Q79" s="233"/>
      <c r="R79" s="233"/>
      <c r="S79" s="233"/>
      <c r="T79" s="233"/>
      <c r="U79" s="238">
        <f>IF('Filtered Data'!$H$8="%.",(VLOOKUP(B79,'Filtered Data'!K:M,3,FALSE))/100,VLOOKUP(B79,'Filtered Data'!K:M,3,FALSE))</f>
        <v>1</v>
      </c>
      <c r="V79" s="238"/>
      <c r="W79" s="238"/>
      <c r="X79" s="238"/>
      <c r="Y79" s="132" t="str">
        <f>IF((VLOOKUP(E79,classifications!C:K,9,FALSE))="Sparse","S","")</f>
        <v/>
      </c>
      <c r="Z79" s="132"/>
      <c r="AA79" s="132"/>
      <c r="AB79" s="132"/>
      <c r="AC79" s="132"/>
      <c r="AD79" s="250"/>
      <c r="AE79" s="250"/>
      <c r="AF79" s="250"/>
      <c r="AG79" s="250"/>
      <c r="AH79" s="250"/>
      <c r="AI79" s="250"/>
      <c r="AJ79" s="250"/>
      <c r="AK79" s="250"/>
      <c r="AL79" s="250"/>
      <c r="AP79" s="56"/>
    </row>
    <row r="80" spans="2:42" ht="12" customHeight="1">
      <c r="B80" s="243">
        <v>15</v>
      </c>
      <c r="C80" s="235"/>
      <c r="D80" s="235"/>
      <c r="E80" s="233" t="str">
        <f>VLOOKUP(B80,'Filtered Data'!K:L,2,FALSE)</f>
        <v>North East Lincolnshire</v>
      </c>
      <c r="F80" s="233"/>
      <c r="G80" s="233"/>
      <c r="H80" s="233"/>
      <c r="I80" s="233"/>
      <c r="J80" s="233"/>
      <c r="K80" s="233"/>
      <c r="L80" s="233"/>
      <c r="M80" s="233"/>
      <c r="N80" s="233"/>
      <c r="O80" s="233"/>
      <c r="P80" s="233"/>
      <c r="Q80" s="233"/>
      <c r="R80" s="233"/>
      <c r="S80" s="233"/>
      <c r="T80" s="233"/>
      <c r="U80" s="238">
        <f>IF('Filtered Data'!$H$8="%.",(VLOOKUP(B80,'Filtered Data'!K:M,3,FALSE))/100,VLOOKUP(B80,'Filtered Data'!K:M,3,FALSE))</f>
        <v>1</v>
      </c>
      <c r="V80" s="238"/>
      <c r="W80" s="238"/>
      <c r="X80" s="238"/>
      <c r="Y80" s="132" t="str">
        <f>IF((VLOOKUP(E80,classifications!C:K,9,FALSE))="Sparse","S","")</f>
        <v/>
      </c>
      <c r="Z80" s="132"/>
      <c r="AA80" s="132"/>
      <c r="AB80" s="132"/>
      <c r="AC80" s="132"/>
      <c r="AD80" s="250"/>
      <c r="AE80" s="250"/>
      <c r="AF80" s="250"/>
      <c r="AG80" s="250"/>
      <c r="AH80" s="250"/>
      <c r="AI80" s="250"/>
      <c r="AJ80" s="250"/>
      <c r="AK80" s="250"/>
      <c r="AL80" s="250"/>
      <c r="AP80" s="56"/>
    </row>
    <row r="81" spans="1:48" ht="12" customHeight="1">
      <c r="B81" s="243">
        <v>16</v>
      </c>
      <c r="C81" s="235"/>
      <c r="D81" s="235"/>
      <c r="E81" s="233" t="str">
        <f>VLOOKUP(B81,'Filtered Data'!K:L,2,FALSE)</f>
        <v>Nottingham</v>
      </c>
      <c r="F81" s="233"/>
      <c r="G81" s="233"/>
      <c r="H81" s="233"/>
      <c r="I81" s="233"/>
      <c r="J81" s="233"/>
      <c r="K81" s="233"/>
      <c r="L81" s="233"/>
      <c r="M81" s="233"/>
      <c r="N81" s="233"/>
      <c r="O81" s="233"/>
      <c r="P81" s="233"/>
      <c r="Q81" s="233"/>
      <c r="R81" s="233"/>
      <c r="S81" s="233"/>
      <c r="T81" s="233"/>
      <c r="U81" s="238">
        <f>IF('Filtered Data'!$H$8="%.",(VLOOKUP(B81,'Filtered Data'!K:M,3,FALSE))/100,VLOOKUP(B81,'Filtered Data'!K:M,3,FALSE))</f>
        <v>1</v>
      </c>
      <c r="V81" s="238"/>
      <c r="W81" s="238"/>
      <c r="X81" s="238"/>
      <c r="Y81" s="132" t="str">
        <f>IF((VLOOKUP(E81,classifications!C:K,9,FALSE))="Sparse","S","")</f>
        <v/>
      </c>
      <c r="Z81" s="132"/>
      <c r="AA81" s="132"/>
      <c r="AB81" s="132"/>
      <c r="AC81" s="132"/>
      <c r="AD81" s="250"/>
      <c r="AE81" s="250"/>
      <c r="AF81" s="250"/>
      <c r="AG81" s="250"/>
      <c r="AH81" s="250"/>
      <c r="AI81" s="250"/>
      <c r="AJ81" s="250"/>
      <c r="AK81" s="250"/>
      <c r="AL81" s="250"/>
      <c r="AP81" s="56"/>
    </row>
    <row r="82" spans="1:48" ht="12" customHeight="1">
      <c r="B82" s="243">
        <v>17</v>
      </c>
      <c r="C82" s="235"/>
      <c r="D82" s="235"/>
      <c r="E82" s="233" t="str">
        <f>VLOOKUP(B82,'Filtered Data'!K:L,2,FALSE)</f>
        <v>Plymouth</v>
      </c>
      <c r="F82" s="233"/>
      <c r="G82" s="233"/>
      <c r="H82" s="233"/>
      <c r="I82" s="233"/>
      <c r="J82" s="233"/>
      <c r="K82" s="233"/>
      <c r="L82" s="233"/>
      <c r="M82" s="233"/>
      <c r="N82" s="233"/>
      <c r="O82" s="233"/>
      <c r="P82" s="233"/>
      <c r="Q82" s="233"/>
      <c r="R82" s="233"/>
      <c r="S82" s="233"/>
      <c r="T82" s="233"/>
      <c r="U82" s="238">
        <f>IF('Filtered Data'!$H$8="%.",(VLOOKUP(B82,'Filtered Data'!K:M,3,FALSE))/100,VLOOKUP(B82,'Filtered Data'!K:M,3,FALSE))</f>
        <v>1</v>
      </c>
      <c r="V82" s="238"/>
      <c r="W82" s="238"/>
      <c r="X82" s="238"/>
      <c r="Y82" s="132" t="str">
        <f>IF((VLOOKUP(E82,classifications!C:K,9,FALSE))="Sparse","S","")</f>
        <v/>
      </c>
      <c r="Z82" s="132"/>
      <c r="AA82" s="132"/>
      <c r="AB82" s="132"/>
      <c r="AC82" s="132"/>
      <c r="AD82" s="250"/>
      <c r="AE82" s="250"/>
      <c r="AF82" s="250"/>
      <c r="AG82" s="250"/>
      <c r="AH82" s="250"/>
      <c r="AI82" s="250"/>
      <c r="AJ82" s="250"/>
      <c r="AK82" s="250"/>
      <c r="AL82" s="250"/>
      <c r="AP82" s="56"/>
    </row>
    <row r="83" spans="1:48" ht="12" customHeight="1">
      <c r="B83" s="243">
        <v>18</v>
      </c>
      <c r="C83" s="235"/>
      <c r="D83" s="235"/>
      <c r="E83" s="233" t="str">
        <f>VLOOKUP(B83,'Filtered Data'!K:L,2,FALSE)</f>
        <v>Portsmouth</v>
      </c>
      <c r="F83" s="233"/>
      <c r="G83" s="233"/>
      <c r="H83" s="233"/>
      <c r="I83" s="233"/>
      <c r="J83" s="233"/>
      <c r="K83" s="233"/>
      <c r="L83" s="233"/>
      <c r="M83" s="233"/>
      <c r="N83" s="233"/>
      <c r="O83" s="233"/>
      <c r="P83" s="233"/>
      <c r="Q83" s="233"/>
      <c r="R83" s="233"/>
      <c r="S83" s="233"/>
      <c r="T83" s="233"/>
      <c r="U83" s="238">
        <f>IF('Filtered Data'!$H$8="%.",(VLOOKUP(B83,'Filtered Data'!K:M,3,FALSE))/100,VLOOKUP(B83,'Filtered Data'!K:M,3,FALSE))</f>
        <v>1</v>
      </c>
      <c r="V83" s="238"/>
      <c r="W83" s="238"/>
      <c r="X83" s="238"/>
      <c r="Y83" s="132" t="str">
        <f>IF((VLOOKUP(E83,classifications!C:K,9,FALSE))="Sparse","S","")</f>
        <v/>
      </c>
      <c r="Z83" s="132"/>
      <c r="AA83" s="132"/>
      <c r="AB83" s="132"/>
      <c r="AC83" s="132"/>
      <c r="AD83" s="250"/>
      <c r="AE83" s="250"/>
      <c r="AF83" s="250"/>
      <c r="AG83" s="250"/>
      <c r="AH83" s="250"/>
      <c r="AI83" s="250"/>
      <c r="AJ83" s="250"/>
      <c r="AK83" s="250"/>
      <c r="AL83" s="250"/>
      <c r="AP83" s="56"/>
    </row>
    <row r="84" spans="1:48" ht="12" customHeight="1">
      <c r="B84" s="243">
        <v>19</v>
      </c>
      <c r="C84" s="235"/>
      <c r="D84" s="235"/>
      <c r="E84" s="233" t="str">
        <f>VLOOKUP(B84,'Filtered Data'!K:L,2,FALSE)</f>
        <v>Redcar &amp; Cleveland</v>
      </c>
      <c r="F84" s="233"/>
      <c r="G84" s="233"/>
      <c r="H84" s="233"/>
      <c r="I84" s="233"/>
      <c r="J84" s="233"/>
      <c r="K84" s="233"/>
      <c r="L84" s="233"/>
      <c r="M84" s="233"/>
      <c r="N84" s="233"/>
      <c r="O84" s="233"/>
      <c r="P84" s="233"/>
      <c r="Q84" s="233"/>
      <c r="R84" s="233"/>
      <c r="S84" s="233"/>
      <c r="T84" s="233"/>
      <c r="U84" s="238">
        <f>IF('Filtered Data'!$H$8="%.",(VLOOKUP(B84,'Filtered Data'!K:M,3,FALSE))/100,VLOOKUP(B84,'Filtered Data'!K:M,3,FALSE))</f>
        <v>1</v>
      </c>
      <c r="V84" s="238"/>
      <c r="W84" s="238"/>
      <c r="X84" s="238"/>
      <c r="Y84" s="132" t="str">
        <f>IF((VLOOKUP(E84,classifications!C:K,9,FALSE))="Sparse","S","")</f>
        <v/>
      </c>
      <c r="Z84" s="132"/>
      <c r="AA84" s="132"/>
      <c r="AB84" s="132"/>
      <c r="AC84" s="132"/>
      <c r="AD84" s="250"/>
      <c r="AE84" s="250"/>
      <c r="AF84" s="250"/>
      <c r="AG84" s="250"/>
      <c r="AH84" s="250"/>
      <c r="AI84" s="250"/>
      <c r="AJ84" s="250"/>
      <c r="AK84" s="250"/>
      <c r="AL84" s="250"/>
      <c r="AP84" s="56"/>
    </row>
    <row r="85" spans="1:48" ht="12" customHeight="1">
      <c r="B85" s="243">
        <v>20</v>
      </c>
      <c r="C85" s="243"/>
      <c r="D85" s="243"/>
      <c r="E85" s="233" t="str">
        <f>VLOOKUP(B85,'Filtered Data'!K:L,2,FALSE)</f>
        <v>Rutland</v>
      </c>
      <c r="F85" s="233"/>
      <c r="G85" s="233"/>
      <c r="H85" s="233"/>
      <c r="I85" s="233"/>
      <c r="J85" s="233"/>
      <c r="K85" s="233"/>
      <c r="L85" s="233"/>
      <c r="M85" s="233"/>
      <c r="N85" s="233"/>
      <c r="O85" s="233"/>
      <c r="P85" s="233"/>
      <c r="Q85" s="233"/>
      <c r="R85" s="233"/>
      <c r="S85" s="233"/>
      <c r="T85" s="233"/>
      <c r="U85" s="238">
        <f>IF('Filtered Data'!$H$8="%.",(VLOOKUP(B85,'Filtered Data'!K:M,3,FALSE))/100,VLOOKUP(B85,'Filtered Data'!K:M,3,FALSE))</f>
        <v>1</v>
      </c>
      <c r="V85" s="238"/>
      <c r="W85" s="238"/>
      <c r="X85" s="238"/>
      <c r="Y85" s="132" t="str">
        <f>IF((VLOOKUP(E85,classifications!C:K,9,FALSE))="Sparse","S","")</f>
        <v>S</v>
      </c>
      <c r="Z85" s="132"/>
      <c r="AA85" s="132"/>
      <c r="AB85" s="132"/>
      <c r="AC85" s="132"/>
      <c r="AD85" s="250"/>
      <c r="AE85" s="250"/>
      <c r="AF85" s="250"/>
      <c r="AG85" s="250"/>
      <c r="AH85" s="250"/>
      <c r="AI85" s="250"/>
      <c r="AJ85" s="250"/>
      <c r="AK85" s="250"/>
      <c r="AL85" s="250"/>
      <c r="AP85" s="56"/>
    </row>
    <row r="86" spans="1:48" ht="12" customHeight="1">
      <c r="A86" s="51"/>
      <c r="B86" s="245">
        <f>IF(Q37&lt;=MAX(B66:D85),"",Q37)</f>
        <v>38</v>
      </c>
      <c r="C86" s="245"/>
      <c r="D86" s="245"/>
      <c r="E86" s="244" t="str">
        <f>IF(B86="","",VLOOKUP(B86,'Filtered Data'!K:L,2,FALSE))</f>
        <v>Cheshire East</v>
      </c>
      <c r="F86" s="244"/>
      <c r="G86" s="244"/>
      <c r="H86" s="244"/>
      <c r="I86" s="244"/>
      <c r="J86" s="244"/>
      <c r="K86" s="244"/>
      <c r="L86" s="244"/>
      <c r="M86" s="244"/>
      <c r="N86" s="244"/>
      <c r="O86" s="244"/>
      <c r="P86" s="244"/>
      <c r="Q86" s="244"/>
      <c r="R86" s="244"/>
      <c r="S86" s="244"/>
      <c r="T86" s="244"/>
      <c r="U86" s="309">
        <f>IF(B86="","",L35)</f>
        <v>0.91666666666666652</v>
      </c>
      <c r="V86" s="309"/>
      <c r="W86" s="309"/>
      <c r="X86" s="309"/>
      <c r="Y86" s="132" t="str">
        <f>IF(B86="","",IF((VLOOKUP(E86,classifications!C:K,9,FALSE))="Sparse","S",""))</f>
        <v>S</v>
      </c>
      <c r="Z86" s="132"/>
      <c r="AA86" s="132"/>
      <c r="AB86" s="132"/>
      <c r="AC86" s="132"/>
      <c r="AD86" s="310"/>
      <c r="AE86" s="310"/>
      <c r="AF86" s="310"/>
      <c r="AG86" s="310"/>
      <c r="AH86" s="310"/>
      <c r="AI86" s="310"/>
      <c r="AJ86" s="310"/>
      <c r="AK86" s="310"/>
      <c r="AL86" s="310"/>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46" t="str">
        <f>IF('Filtered Data'!D1="MD","",IF('Filtered Data'!D1="SC","","Rank"))</f>
        <v>Rank</v>
      </c>
      <c r="C91" s="246"/>
      <c r="D91" s="246"/>
      <c r="E91" s="234" t="str">
        <f>IF('Filtered Data'!D1="MD","",IF('Filtered Data'!D1="SC","","Authority"))</f>
        <v>Authority</v>
      </c>
      <c r="F91" s="234"/>
      <c r="G91" s="234"/>
      <c r="H91" s="234"/>
      <c r="I91" s="234"/>
      <c r="J91" s="234"/>
      <c r="K91" s="234"/>
      <c r="L91" s="234"/>
      <c r="M91" s="234"/>
      <c r="N91" s="234"/>
      <c r="O91" s="231"/>
      <c r="P91" s="231"/>
      <c r="Q91" s="231"/>
      <c r="R91" s="231"/>
      <c r="S91" s="231"/>
      <c r="T91" s="231"/>
      <c r="U91" s="246" t="str">
        <f>IF('Filtered Data'!D1="MD","",IF('Filtered Data'!D1="SC","","Value"))</f>
        <v>Value</v>
      </c>
      <c r="V91" s="246"/>
      <c r="W91" s="246"/>
      <c r="X91" s="246"/>
      <c r="AA91" s="246"/>
      <c r="AB91" s="246"/>
      <c r="AC91" s="246"/>
      <c r="AD91" s="234"/>
      <c r="AE91" s="234"/>
      <c r="AF91" s="234"/>
      <c r="AG91" s="234"/>
      <c r="AH91" s="234"/>
      <c r="AI91" s="234"/>
      <c r="AJ91" s="234"/>
      <c r="AK91" s="234"/>
      <c r="AL91" s="234"/>
      <c r="AM91" s="234"/>
      <c r="AN91" s="246"/>
      <c r="AO91" s="246"/>
      <c r="AP91" s="246"/>
      <c r="AV91" s="56"/>
    </row>
    <row r="92" spans="1:48" ht="12" customHeight="1">
      <c r="B92" s="241">
        <f>IF('Filtered Data'!$D$1="MD","",IF('Filtered Data'!$D$1="SC","",IF('Filtered Data'!$D$1="UA",'Filtered Data'!AS11,'Filtered Data'!AL11)))</f>
        <v>1</v>
      </c>
      <c r="C92" s="242"/>
      <c r="D92" s="24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3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38"/>
      <c r="W92" s="238"/>
      <c r="X92" s="238"/>
      <c r="Y92" s="133" t="str">
        <f>IF(E92="","",IF((VLOOKUP(E92,classifications!C:K,9,FALSE))="Sparse","S",""))</f>
        <v/>
      </c>
      <c r="AA92" s="248"/>
      <c r="AB92" s="235"/>
      <c r="AC92" s="235"/>
      <c r="AD92" s="233"/>
      <c r="AE92" s="233"/>
      <c r="AF92" s="233"/>
      <c r="AG92" s="233"/>
      <c r="AH92" s="233"/>
      <c r="AI92" s="233"/>
      <c r="AJ92" s="233"/>
      <c r="AK92" s="233"/>
      <c r="AL92" s="233"/>
      <c r="AM92" s="233"/>
      <c r="AN92" s="308"/>
      <c r="AO92" s="308"/>
      <c r="AP92" s="308"/>
      <c r="AQ92" s="308"/>
      <c r="AR92" s="133"/>
      <c r="AV92" s="56"/>
    </row>
    <row r="93" spans="1:48" ht="12" customHeight="1">
      <c r="B93" s="241">
        <f>IF('Filtered Data'!$D$1="MD","",IF('Filtered Data'!$D$1="SC","",IF('Filtered Data'!$D$1="UA",'Filtered Data'!AS12,'Filtered Data'!AL12)))</f>
        <v>2</v>
      </c>
      <c r="C93" s="242"/>
      <c r="D93" s="242"/>
      <c r="E93" s="244" t="str">
        <f>IF(B93="","",IF('Filtered Data'!$D$1="UA",VLOOKUP(B93,'Filtered Data'!AS:AU,2,FALSE),VLOOKUP(B93,'Filtered Data'!AL:AN,2,FALSE)))</f>
        <v>Cheshire West &amp; Chester</v>
      </c>
      <c r="F93" s="244"/>
      <c r="G93" s="244"/>
      <c r="H93" s="244"/>
      <c r="I93" s="244"/>
      <c r="J93" s="244"/>
      <c r="K93" s="244"/>
      <c r="L93" s="244"/>
      <c r="M93" s="244"/>
      <c r="N93" s="244"/>
      <c r="O93" s="244"/>
      <c r="P93" s="244"/>
      <c r="Q93" s="244"/>
      <c r="R93" s="244"/>
      <c r="S93" s="244"/>
      <c r="T93" s="244"/>
      <c r="U93" s="23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38"/>
      <c r="W93" s="238"/>
      <c r="X93" s="238"/>
      <c r="Y93" s="133" t="str">
        <f>IF(E93="","",IF((VLOOKUP(E93,classifications!C:K,9,FALSE))="Sparse","S",""))</f>
        <v/>
      </c>
      <c r="AA93" s="248"/>
      <c r="AB93" s="235"/>
      <c r="AC93" s="235"/>
      <c r="AD93" s="233"/>
      <c r="AE93" s="233"/>
      <c r="AF93" s="233"/>
      <c r="AG93" s="233"/>
      <c r="AH93" s="233"/>
      <c r="AI93" s="233"/>
      <c r="AJ93" s="233"/>
      <c r="AK93" s="233"/>
      <c r="AL93" s="233"/>
      <c r="AM93" s="233"/>
      <c r="AN93" s="308"/>
      <c r="AO93" s="308"/>
      <c r="AP93" s="308"/>
      <c r="AQ93" s="308"/>
      <c r="AR93" s="133"/>
      <c r="AV93" s="56"/>
    </row>
    <row r="94" spans="1:48" ht="12" customHeight="1">
      <c r="B94" s="241">
        <f>IF('Filtered Data'!$D$1="MD","",IF('Filtered Data'!$D$1="SC","",IF('Filtered Data'!$D$1="UA",'Filtered Data'!AS13,'Filtered Data'!AL13)))</f>
        <v>3</v>
      </c>
      <c r="C94" s="242"/>
      <c r="D94" s="242"/>
      <c r="E94" s="244" t="str">
        <f>IF(B94="","",IF('Filtered Data'!$D$1="UA",VLOOKUP(B94,'Filtered Data'!AS:AU,2,FALSE),VLOOKUP(B94,'Filtered Data'!AL:AN,2,FALSE)))</f>
        <v>Warrington</v>
      </c>
      <c r="F94" s="244"/>
      <c r="G94" s="244"/>
      <c r="H94" s="244"/>
      <c r="I94" s="244"/>
      <c r="J94" s="244"/>
      <c r="K94" s="244"/>
      <c r="L94" s="244"/>
      <c r="M94" s="244"/>
      <c r="N94" s="244"/>
      <c r="O94" s="244"/>
      <c r="P94" s="244"/>
      <c r="Q94" s="244"/>
      <c r="R94" s="244"/>
      <c r="S94" s="244"/>
      <c r="T94" s="244"/>
      <c r="U94" s="23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38"/>
      <c r="W94" s="238"/>
      <c r="X94" s="238"/>
      <c r="Y94" s="133" t="str">
        <f>IF(E94="","",IF((VLOOKUP(E94,classifications!C:K,9,FALSE))="Sparse","S",""))</f>
        <v/>
      </c>
      <c r="AA94" s="248"/>
      <c r="AB94" s="235"/>
      <c r="AC94" s="235"/>
      <c r="AD94" s="233"/>
      <c r="AE94" s="233"/>
      <c r="AF94" s="233"/>
      <c r="AG94" s="233"/>
      <c r="AH94" s="233"/>
      <c r="AI94" s="233"/>
      <c r="AJ94" s="233"/>
      <c r="AK94" s="233"/>
      <c r="AL94" s="233"/>
      <c r="AM94" s="233"/>
      <c r="AN94" s="308"/>
      <c r="AO94" s="308"/>
      <c r="AP94" s="308"/>
      <c r="AQ94" s="308"/>
      <c r="AR94" s="133"/>
      <c r="AV94" s="56"/>
    </row>
    <row r="95" spans="1:48" ht="12" customHeight="1">
      <c r="B95" s="241">
        <f>IF('Filtered Data'!$D$1="MD","",IF('Filtered Data'!$D$1="SC","",IF('Filtered Data'!$D$1="UA",'Filtered Data'!AS14,'Filtered Data'!AL14)))</f>
        <v>4</v>
      </c>
      <c r="C95" s="242"/>
      <c r="D95" s="242"/>
      <c r="E95" s="244" t="str">
        <f>IF(B95="","",IF('Filtered Data'!$D$1="UA",VLOOKUP(B95,'Filtered Data'!AS:AU,2,FALSE),VLOOKUP(B95,'Filtered Data'!AL:AN,2,FALSE)))</f>
        <v>Cumberland</v>
      </c>
      <c r="F95" s="244"/>
      <c r="G95" s="244"/>
      <c r="H95" s="244"/>
      <c r="I95" s="244"/>
      <c r="J95" s="244"/>
      <c r="K95" s="244"/>
      <c r="L95" s="244"/>
      <c r="M95" s="244"/>
      <c r="N95" s="244"/>
      <c r="O95" s="244"/>
      <c r="P95" s="244"/>
      <c r="Q95" s="244"/>
      <c r="R95" s="244"/>
      <c r="S95" s="244"/>
      <c r="T95" s="244"/>
      <c r="U95" s="23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0.91666666666666652</v>
      </c>
      <c r="V95" s="238"/>
      <c r="W95" s="238"/>
      <c r="X95" s="238"/>
      <c r="Y95" s="133" t="str">
        <f>IF(E95="","",IF((VLOOKUP(E95,classifications!C:K,9,FALSE))="Sparse","S",""))</f>
        <v>S</v>
      </c>
      <c r="AA95" s="248"/>
      <c r="AB95" s="235"/>
      <c r="AC95" s="235"/>
      <c r="AD95" s="233"/>
      <c r="AE95" s="233"/>
      <c r="AF95" s="233"/>
      <c r="AG95" s="233"/>
      <c r="AH95" s="233"/>
      <c r="AI95" s="233"/>
      <c r="AJ95" s="233"/>
      <c r="AK95" s="233"/>
      <c r="AL95" s="233"/>
      <c r="AM95" s="233"/>
      <c r="AN95" s="308"/>
      <c r="AO95" s="308"/>
      <c r="AP95" s="308"/>
      <c r="AQ95" s="308"/>
      <c r="AR95" s="133"/>
      <c r="AV95" s="56"/>
    </row>
    <row r="96" spans="1:48" ht="12" customHeight="1">
      <c r="B96" s="241">
        <f>IF('Filtered Data'!$D$1="MD","",IF('Filtered Data'!$D$1="SC","",IF('Filtered Data'!$D$1="UA",'Filtered Data'!AS15,'Filtered Data'!AL15)))</f>
        <v>5</v>
      </c>
      <c r="C96" s="242"/>
      <c r="D96" s="242"/>
      <c r="E96" s="244" t="str">
        <f>IF(B96="","",IF('Filtered Data'!$D$1="UA",VLOOKUP(B96,'Filtered Data'!AS:AU,2,FALSE),VLOOKUP(B96,'Filtered Data'!AL:AN,2,FALSE)))</f>
        <v>Cheshire East</v>
      </c>
      <c r="F96" s="244"/>
      <c r="G96" s="244"/>
      <c r="H96" s="244"/>
      <c r="I96" s="244"/>
      <c r="J96" s="244"/>
      <c r="K96" s="244"/>
      <c r="L96" s="244"/>
      <c r="M96" s="244"/>
      <c r="N96" s="244"/>
      <c r="O96" s="244"/>
      <c r="P96" s="244"/>
      <c r="Q96" s="244"/>
      <c r="R96" s="244"/>
      <c r="S96" s="244"/>
      <c r="T96" s="244"/>
      <c r="U96" s="23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0.91666666666666652</v>
      </c>
      <c r="V96" s="238"/>
      <c r="W96" s="238"/>
      <c r="X96" s="238"/>
      <c r="Y96" s="133" t="str">
        <f>IF(E96="","",IF((VLOOKUP(E96,classifications!C:K,9,FALSE))="Sparse","S",""))</f>
        <v>S</v>
      </c>
      <c r="AA96" s="248"/>
      <c r="AB96" s="235"/>
      <c r="AC96" s="235"/>
      <c r="AD96" s="233"/>
      <c r="AE96" s="233"/>
      <c r="AF96" s="233"/>
      <c r="AG96" s="233"/>
      <c r="AH96" s="233"/>
      <c r="AI96" s="233"/>
      <c r="AJ96" s="233"/>
      <c r="AK96" s="233"/>
      <c r="AL96" s="233"/>
      <c r="AM96" s="233"/>
      <c r="AN96" s="308"/>
      <c r="AO96" s="308"/>
      <c r="AP96" s="308"/>
      <c r="AQ96" s="308"/>
      <c r="AR96" s="133"/>
      <c r="AV96" s="56"/>
    </row>
    <row r="97" spans="2:48" ht="12" customHeight="1">
      <c r="B97" s="241">
        <f>IF('Filtered Data'!$D$1="MD","",IF('Filtered Data'!$D$1="SC","",IF('Filtered Data'!$D$1="UA",'Filtered Data'!AS16,'Filtered Data'!AL16)))</f>
        <v>6</v>
      </c>
      <c r="C97" s="242"/>
      <c r="D97" s="242"/>
      <c r="E97" s="244" t="str">
        <f>IF(B97="","",IF('Filtered Data'!$D$1="UA",VLOOKUP(B97,'Filtered Data'!AS:AU,2,FALSE),VLOOKUP(B97,'Filtered Data'!AL:AN,2,FALSE)))</f>
        <v>Westmorland &amp; Furness</v>
      </c>
      <c r="F97" s="244"/>
      <c r="G97" s="244"/>
      <c r="H97" s="244"/>
      <c r="I97" s="244"/>
      <c r="J97" s="244"/>
      <c r="K97" s="244"/>
      <c r="L97" s="244"/>
      <c r="M97" s="244"/>
      <c r="N97" s="244"/>
      <c r="O97" s="244"/>
      <c r="P97" s="244"/>
      <c r="Q97" s="244"/>
      <c r="R97" s="244"/>
      <c r="S97" s="244"/>
      <c r="T97" s="244"/>
      <c r="U97" s="23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0.875</v>
      </c>
      <c r="V97" s="238"/>
      <c r="W97" s="238"/>
      <c r="X97" s="238"/>
      <c r="Y97" s="133" t="str">
        <f>IF(E97="","",IF((VLOOKUP(E97,classifications!C:K,9,FALSE))="Sparse","S",""))</f>
        <v>S</v>
      </c>
      <c r="AA97" s="248"/>
      <c r="AB97" s="235"/>
      <c r="AC97" s="235"/>
      <c r="AD97" s="233"/>
      <c r="AE97" s="233"/>
      <c r="AF97" s="233"/>
      <c r="AG97" s="233"/>
      <c r="AH97" s="233"/>
      <c r="AI97" s="233"/>
      <c r="AJ97" s="233"/>
      <c r="AK97" s="233"/>
      <c r="AL97" s="233"/>
      <c r="AM97" s="233"/>
      <c r="AN97" s="308"/>
      <c r="AO97" s="308"/>
      <c r="AP97" s="308"/>
      <c r="AQ97" s="308"/>
      <c r="AR97" s="133"/>
      <c r="AV97" s="56"/>
    </row>
    <row r="98" spans="2:48" ht="12" customHeight="1">
      <c r="B98" s="241">
        <f>IF('Filtered Data'!$D$1="MD","",IF('Filtered Data'!$D$1="SC","",IF('Filtered Data'!$D$1="UA",'Filtered Data'!AS17,'Filtered Data'!AL17)))</f>
        <v>7</v>
      </c>
      <c r="C98" s="242"/>
      <c r="D98" s="242"/>
      <c r="E98" s="244" t="str">
        <f>IF(B98="","",IF('Filtered Data'!$D$1="UA",VLOOKUP(B98,'Filtered Data'!AS:AU,2,FALSE),VLOOKUP(B98,'Filtered Data'!AL:AN,2,FALSE)))</f>
        <v>Blackpool</v>
      </c>
      <c r="F98" s="244"/>
      <c r="G98" s="244"/>
      <c r="H98" s="244"/>
      <c r="I98" s="244"/>
      <c r="J98" s="244"/>
      <c r="K98" s="244"/>
      <c r="L98" s="244"/>
      <c r="M98" s="244"/>
      <c r="N98" s="244"/>
      <c r="O98" s="244"/>
      <c r="P98" s="244"/>
      <c r="Q98" s="244"/>
      <c r="R98" s="244"/>
      <c r="S98" s="244"/>
      <c r="T98" s="244"/>
      <c r="U98" s="238">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v>
      </c>
      <c r="V98" s="238"/>
      <c r="W98" s="238"/>
      <c r="X98" s="238"/>
      <c r="Y98" s="133" t="str">
        <f>IF(E98="","",IF((VLOOKUP(E98,classifications!C:K,9,FALSE))="Sparse","S",""))</f>
        <v/>
      </c>
      <c r="AA98" s="248"/>
      <c r="AB98" s="235"/>
      <c r="AC98" s="235"/>
      <c r="AD98" s="233"/>
      <c r="AE98" s="233"/>
      <c r="AF98" s="233"/>
      <c r="AG98" s="233"/>
      <c r="AH98" s="233"/>
      <c r="AI98" s="233"/>
      <c r="AJ98" s="233"/>
      <c r="AK98" s="233"/>
      <c r="AL98" s="233"/>
      <c r="AM98" s="233"/>
      <c r="AN98" s="308"/>
      <c r="AO98" s="308"/>
      <c r="AP98" s="308"/>
      <c r="AQ98" s="308"/>
      <c r="AR98" s="133"/>
      <c r="AV98" s="56"/>
    </row>
    <row r="99" spans="2:48" ht="12" customHeight="1">
      <c r="B99" s="241">
        <f>IF('Filtered Data'!$D$1="MD","",IF('Filtered Data'!$D$1="SC","",IF('Filtered Data'!$D$1="UA",'Filtered Data'!AS18,'Filtered Data'!AL18)))</f>
        <v>8</v>
      </c>
      <c r="C99" s="242"/>
      <c r="D99" s="242"/>
      <c r="E99" s="244" t="str">
        <f>IF(B99="","",IF('Filtered Data'!$D$1="UA",VLOOKUP(B99,'Filtered Data'!AS:AU,2,FALSE),VLOOKUP(B99,'Filtered Data'!AL:AN,2,FALSE)))</f>
        <v>Halton</v>
      </c>
      <c r="F99" s="244"/>
      <c r="G99" s="244"/>
      <c r="H99" s="244"/>
      <c r="I99" s="244"/>
      <c r="J99" s="244"/>
      <c r="K99" s="244"/>
      <c r="L99" s="244"/>
      <c r="M99" s="244"/>
      <c r="N99" s="244"/>
      <c r="O99" s="244"/>
      <c r="P99" s="244"/>
      <c r="Q99" s="244"/>
      <c r="R99" s="244"/>
      <c r="S99" s="244"/>
      <c r="T99" s="244"/>
      <c r="U99" s="238">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0.8</v>
      </c>
      <c r="V99" s="238"/>
      <c r="W99" s="238"/>
      <c r="X99" s="238"/>
      <c r="Y99" s="133" t="str">
        <f>IF(E99="","",IF((VLOOKUP(E99,classifications!C:K,9,FALSE))="Sparse","S",""))</f>
        <v/>
      </c>
      <c r="AA99" s="248"/>
      <c r="AB99" s="235"/>
      <c r="AC99" s="235"/>
      <c r="AD99" s="233"/>
      <c r="AE99" s="233"/>
      <c r="AF99" s="233"/>
      <c r="AG99" s="233"/>
      <c r="AH99" s="233"/>
      <c r="AI99" s="233"/>
      <c r="AJ99" s="233"/>
      <c r="AK99" s="233"/>
      <c r="AL99" s="233"/>
      <c r="AM99" s="233"/>
      <c r="AN99" s="308"/>
      <c r="AO99" s="308"/>
      <c r="AP99" s="308"/>
      <c r="AQ99" s="308"/>
      <c r="AR99" s="133"/>
      <c r="AV99" s="56"/>
    </row>
    <row r="100" spans="2:48" ht="12" customHeight="1">
      <c r="B100" s="241" t="str">
        <f>IF('Filtered Data'!$D$1="MD","",IF('Filtered Data'!$D$1="SC","",IF('Filtered Data'!$D$1="UA",'Filtered Data'!AS19,'Filtered Data'!AL19)))</f>
        <v/>
      </c>
      <c r="C100" s="242"/>
      <c r="D100" s="24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3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8"/>
      <c r="W100" s="238"/>
      <c r="X100" s="238"/>
      <c r="Y100" s="133" t="str">
        <f>IF(E100="","",IF((VLOOKUP(E100,classifications!C:K,9,FALSE))="Sparse","S",""))</f>
        <v/>
      </c>
      <c r="AA100" s="248"/>
      <c r="AB100" s="235"/>
      <c r="AC100" s="235"/>
      <c r="AD100" s="233"/>
      <c r="AE100" s="233"/>
      <c r="AF100" s="233"/>
      <c r="AG100" s="233"/>
      <c r="AH100" s="233"/>
      <c r="AI100" s="233"/>
      <c r="AJ100" s="233"/>
      <c r="AK100" s="233"/>
      <c r="AL100" s="233"/>
      <c r="AM100" s="233"/>
      <c r="AN100" s="308"/>
      <c r="AO100" s="308"/>
      <c r="AP100" s="308"/>
      <c r="AQ100" s="308"/>
      <c r="AR100" s="133"/>
      <c r="AV100" s="56"/>
    </row>
    <row r="101" spans="2:48" ht="12" customHeight="1">
      <c r="B101" s="241" t="str">
        <f>IF('Filtered Data'!$D$1="MD","",IF('Filtered Data'!$D$1="SC","",IF('Filtered Data'!$D$1="UA",'Filtered Data'!AS20,'Filtered Data'!AL20)))</f>
        <v/>
      </c>
      <c r="C101" s="242"/>
      <c r="D101" s="24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3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8"/>
      <c r="W101" s="238"/>
      <c r="X101" s="238"/>
      <c r="Y101" s="133" t="str">
        <f>IF(E101="","",IF((VLOOKUP(E101,classifications!C:K,9,FALSE))="Sparse","S",""))</f>
        <v/>
      </c>
      <c r="AA101" s="248"/>
      <c r="AB101" s="235"/>
      <c r="AC101" s="235"/>
      <c r="AD101" s="233"/>
      <c r="AE101" s="233"/>
      <c r="AF101" s="233"/>
      <c r="AG101" s="233"/>
      <c r="AH101" s="233"/>
      <c r="AI101" s="233"/>
      <c r="AJ101" s="233"/>
      <c r="AK101" s="233"/>
      <c r="AL101" s="233"/>
      <c r="AM101" s="233"/>
      <c r="AN101" s="308"/>
      <c r="AO101" s="308"/>
      <c r="AP101" s="308"/>
      <c r="AQ101" s="308"/>
      <c r="AR101" s="133"/>
      <c r="AV101" s="56"/>
    </row>
    <row r="102" spans="2:48" ht="12" customHeight="1">
      <c r="B102" s="241" t="str">
        <f>IF('Filtered Data'!$D$1="MD","",IF('Filtered Data'!$D$1="SC","",IF('Filtered Data'!$D$1="UA",'Filtered Data'!AS21,'Filtered Data'!AL21)))</f>
        <v/>
      </c>
      <c r="C102" s="242"/>
      <c r="D102" s="24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3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8"/>
      <c r="W102" s="238"/>
      <c r="X102" s="238"/>
      <c r="Y102" s="133" t="str">
        <f>IF(E102="","",IF((VLOOKUP(E102,classifications!C:K,9,FALSE))="Sparse","S",""))</f>
        <v/>
      </c>
      <c r="AA102" s="248"/>
      <c r="AB102" s="235"/>
      <c r="AC102" s="235"/>
      <c r="AD102" s="233"/>
      <c r="AE102" s="233"/>
      <c r="AF102" s="233"/>
      <c r="AG102" s="233"/>
      <c r="AH102" s="233"/>
      <c r="AI102" s="233"/>
      <c r="AJ102" s="233"/>
      <c r="AK102" s="233"/>
      <c r="AL102" s="233"/>
      <c r="AM102" s="233"/>
      <c r="AN102" s="308"/>
      <c r="AO102" s="308"/>
      <c r="AP102" s="308"/>
      <c r="AQ102" s="308"/>
      <c r="AR102" s="133"/>
      <c r="AV102" s="56"/>
    </row>
    <row r="103" spans="2:48" ht="12" customHeight="1">
      <c r="B103" s="241" t="str">
        <f>IF('Filtered Data'!$D$1="MD","",IF('Filtered Data'!$D$1="SC","",IF('Filtered Data'!$D$1="UA",'Filtered Data'!AS22,'Filtered Data'!AL22)))</f>
        <v/>
      </c>
      <c r="C103" s="242"/>
      <c r="D103" s="24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3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8"/>
      <c r="W103" s="238"/>
      <c r="X103" s="238"/>
      <c r="Y103" s="133" t="str">
        <f>IF(E103="","",IF((VLOOKUP(E103,classifications!C:K,9,FALSE))="Sparse","S",""))</f>
        <v/>
      </c>
      <c r="AA103" s="248"/>
      <c r="AB103" s="235"/>
      <c r="AC103" s="235"/>
      <c r="AD103" s="233"/>
      <c r="AE103" s="233"/>
      <c r="AF103" s="233"/>
      <c r="AG103" s="233"/>
      <c r="AH103" s="233"/>
      <c r="AI103" s="233"/>
      <c r="AJ103" s="233"/>
      <c r="AK103" s="233"/>
      <c r="AL103" s="233"/>
      <c r="AM103" s="233"/>
      <c r="AN103" s="308"/>
      <c r="AO103" s="308"/>
      <c r="AP103" s="308"/>
      <c r="AQ103" s="308"/>
      <c r="AR103" s="133"/>
      <c r="AV103" s="56"/>
    </row>
    <row r="104" spans="2:48" ht="12" customHeight="1">
      <c r="B104" s="241" t="str">
        <f>IF('Filtered Data'!$D$1="MD","",IF('Filtered Data'!$D$1="SC","",IF('Filtered Data'!$D$1="UA",'Filtered Data'!AS23,'Filtered Data'!AL23)))</f>
        <v/>
      </c>
      <c r="C104" s="242"/>
      <c r="D104" s="24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3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8"/>
      <c r="W104" s="238"/>
      <c r="X104" s="238"/>
      <c r="Y104" s="133" t="str">
        <f>IF(E104="","",IF((VLOOKUP(E104,classifications!C:K,9,FALSE))="Sparse","S",""))</f>
        <v/>
      </c>
      <c r="AA104" s="248"/>
      <c r="AB104" s="235"/>
      <c r="AC104" s="235"/>
      <c r="AD104" s="233"/>
      <c r="AE104" s="233"/>
      <c r="AF104" s="233"/>
      <c r="AG104" s="233"/>
      <c r="AH104" s="233"/>
      <c r="AI104" s="233"/>
      <c r="AJ104" s="233"/>
      <c r="AK104" s="233"/>
      <c r="AL104" s="233"/>
      <c r="AM104" s="233"/>
      <c r="AN104" s="308"/>
      <c r="AO104" s="308"/>
      <c r="AP104" s="308"/>
      <c r="AQ104" s="308"/>
      <c r="AR104" s="133"/>
      <c r="AV104" s="56"/>
    </row>
    <row r="105" spans="2:48" ht="12" customHeight="1">
      <c r="B105" s="241" t="str">
        <f>IF('Filtered Data'!$D$1="MD","",IF('Filtered Data'!$D$1="SC","",IF('Filtered Data'!$D$1="UA",'Filtered Data'!AS24,'Filtered Data'!AL24)))</f>
        <v/>
      </c>
      <c r="C105" s="242"/>
      <c r="D105" s="24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3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8"/>
      <c r="W105" s="238"/>
      <c r="X105" s="238"/>
      <c r="Y105" s="133" t="str">
        <f>IF(E105="","",IF((VLOOKUP(E105,classifications!C:K,9,FALSE))="Sparse","S",""))</f>
        <v/>
      </c>
      <c r="AA105" s="248"/>
      <c r="AB105" s="235"/>
      <c r="AC105" s="235"/>
      <c r="AD105" s="233"/>
      <c r="AE105" s="233"/>
      <c r="AF105" s="233"/>
      <c r="AG105" s="233"/>
      <c r="AH105" s="233"/>
      <c r="AI105" s="233"/>
      <c r="AJ105" s="233"/>
      <c r="AK105" s="233"/>
      <c r="AL105" s="233"/>
      <c r="AM105" s="233"/>
      <c r="AN105" s="308"/>
      <c r="AO105" s="308"/>
      <c r="AP105" s="308"/>
      <c r="AQ105" s="308"/>
      <c r="AR105" s="133"/>
      <c r="AV105" s="56"/>
    </row>
    <row r="106" spans="2:48" ht="12" customHeight="1">
      <c r="B106" s="241" t="str">
        <f>IF('Filtered Data'!$D$1="MD","",IF('Filtered Data'!$D$1="SC","",IF('Filtered Data'!$D$1="UA",'Filtered Data'!AS25,'Filtered Data'!AL25)))</f>
        <v/>
      </c>
      <c r="C106" s="242"/>
      <c r="D106" s="24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3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8"/>
      <c r="W106" s="238"/>
      <c r="X106" s="238"/>
      <c r="Y106" s="133" t="str">
        <f>IF(E106="","",IF((VLOOKUP(E106,classifications!C:K,9,FALSE))="Sparse","S",""))</f>
        <v/>
      </c>
      <c r="AA106" s="248"/>
      <c r="AB106" s="235"/>
      <c r="AC106" s="235"/>
      <c r="AD106" s="233"/>
      <c r="AE106" s="233"/>
      <c r="AF106" s="233"/>
      <c r="AG106" s="233"/>
      <c r="AH106" s="233"/>
      <c r="AI106" s="233"/>
      <c r="AJ106" s="233"/>
      <c r="AK106" s="233"/>
      <c r="AL106" s="233"/>
      <c r="AM106" s="233"/>
      <c r="AN106" s="308"/>
      <c r="AO106" s="308"/>
      <c r="AP106" s="308"/>
      <c r="AQ106" s="308"/>
      <c r="AR106" s="133"/>
      <c r="AV106" s="56"/>
    </row>
    <row r="107" spans="2:48" ht="12" customHeight="1">
      <c r="B107" s="241" t="str">
        <f>IF('Filtered Data'!$D$1="MD","",IF('Filtered Data'!$D$1="SC","",IF('Filtered Data'!$D$1="UA",'Filtered Data'!AS26,'Filtered Data'!AL26)))</f>
        <v/>
      </c>
      <c r="C107" s="242"/>
      <c r="D107" s="24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3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8"/>
      <c r="W107" s="238"/>
      <c r="X107" s="238"/>
      <c r="Y107" s="133" t="str">
        <f>IF(E107="","",IF((VLOOKUP(E107,classifications!C:K,9,FALSE))="Sparse","S",""))</f>
        <v/>
      </c>
      <c r="AA107" s="248"/>
      <c r="AB107" s="235"/>
      <c r="AC107" s="235"/>
      <c r="AD107" s="233"/>
      <c r="AE107" s="233"/>
      <c r="AF107" s="233"/>
      <c r="AG107" s="233"/>
      <c r="AH107" s="233"/>
      <c r="AI107" s="233"/>
      <c r="AJ107" s="233"/>
      <c r="AK107" s="233"/>
      <c r="AL107" s="233"/>
      <c r="AM107" s="233"/>
      <c r="AN107" s="308"/>
      <c r="AO107" s="308"/>
      <c r="AP107" s="308"/>
      <c r="AQ107" s="308"/>
      <c r="AR107" s="133"/>
      <c r="AV107" s="56"/>
    </row>
    <row r="108" spans="2:48" ht="12" customHeight="1">
      <c r="B108" s="235"/>
      <c r="C108" s="235"/>
      <c r="D108" s="235"/>
      <c r="E108" s="234" t="str">
        <f>IF('Filtered Data'!D1="MD","",IF('Filtered Data'!D1="SC","","Average"))</f>
        <v>Average</v>
      </c>
      <c r="F108" s="234"/>
      <c r="G108" s="234"/>
      <c r="H108" s="234"/>
      <c r="I108" s="234"/>
      <c r="J108" s="234"/>
      <c r="K108" s="234"/>
      <c r="L108" s="234"/>
      <c r="M108" s="234"/>
      <c r="N108" s="234"/>
      <c r="O108" s="231"/>
      <c r="P108" s="231"/>
      <c r="Q108" s="231"/>
      <c r="R108" s="231"/>
      <c r="S108" s="231"/>
      <c r="T108" s="231"/>
      <c r="U108" s="247">
        <f>L39</f>
        <v>0.91354166666666659</v>
      </c>
      <c r="V108" s="247"/>
      <c r="W108" s="247"/>
      <c r="X108" s="247"/>
      <c r="Y108" s="133"/>
      <c r="AA108" s="235"/>
      <c r="AB108" s="235"/>
      <c r="AC108" s="235"/>
      <c r="AD108" s="1"/>
      <c r="AE108" s="1"/>
      <c r="AF108" s="1"/>
      <c r="AG108" s="1"/>
      <c r="AH108" s="1"/>
      <c r="AI108" s="1"/>
      <c r="AJ108" s="1"/>
      <c r="AK108" s="1"/>
      <c r="AL108" s="1"/>
      <c r="AM108" s="21"/>
      <c r="AN108" s="236"/>
      <c r="AO108" s="236"/>
      <c r="AP108" s="236"/>
      <c r="AQ108" s="236"/>
      <c r="AV108" s="56"/>
    </row>
    <row r="109" spans="2:48" ht="12" customHeight="1">
      <c r="W109" s="18">
        <f>COUNT(AA92:AB107)</f>
        <v>0</v>
      </c>
    </row>
    <row r="110" spans="2:48" ht="19.5" customHeight="1">
      <c r="B110" s="237" t="str">
        <f>B3</f>
        <v>Planning Application Turnaround</v>
      </c>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row>
    <row r="111" spans="2:48" ht="12" customHeight="1"/>
    <row r="112" spans="2:48" ht="12" customHeight="1">
      <c r="B112" s="234" t="s">
        <v>370</v>
      </c>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4"/>
      <c r="AF112" s="234"/>
      <c r="AG112" s="234"/>
      <c r="AH112" s="234"/>
      <c r="AI112" s="234"/>
      <c r="AJ112" s="234"/>
      <c r="AK112" s="234"/>
      <c r="AL112" s="234"/>
      <c r="AM112" s="234"/>
      <c r="AN112" s="234"/>
    </row>
    <row r="113" spans="2:40" ht="12" customHeight="1"/>
    <row r="114" spans="2:40" ht="12" customHeight="1">
      <c r="B114" s="293" t="str">
        <f>W6&amp;" - "&amp;W12</f>
        <v>Major Developments - % decisions in time - 2024 Q2</v>
      </c>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c r="AA114" s="294"/>
      <c r="AB114" s="294"/>
      <c r="AC114" s="294"/>
      <c r="AD114" s="294"/>
      <c r="AE114" s="294"/>
      <c r="AF114" s="294"/>
      <c r="AG114" s="294"/>
      <c r="AH114" s="294"/>
      <c r="AI114" s="294"/>
      <c r="AJ114" s="294"/>
      <c r="AK114" s="294"/>
      <c r="AL114" s="294"/>
      <c r="AM114" s="294"/>
      <c r="AN114" s="20"/>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311">
        <f>IF('Filtered Data'!H8="..",L35,L35*100)</f>
        <v>91.666666666666657</v>
      </c>
      <c r="H118" s="311"/>
      <c r="I118" s="311"/>
      <c r="J118" s="311"/>
      <c r="K118" s="311"/>
      <c r="M118" s="235">
        <f>K$48</f>
        <v>100</v>
      </c>
      <c r="N118" s="235"/>
      <c r="O118" s="235">
        <f>M$48</f>
        <v>96.212121212121218</v>
      </c>
      <c r="P118" s="235"/>
      <c r="Q118" s="235">
        <f>O$48</f>
        <v>85.440613026819932</v>
      </c>
      <c r="R118" s="235"/>
      <c r="AN118" s="6"/>
    </row>
    <row r="119" spans="2:40" ht="12" customHeight="1">
      <c r="B119" s="5"/>
      <c r="F119" t="s">
        <v>380</v>
      </c>
      <c r="G119" s="311">
        <f>IF('Filtered Data'!H8="%%",(AVERAGEIF('Filtered Data'!AA$10:AA$333,$F119,'Filtered Data'!M$10:M$333))*100,(AVERAGEIF('Filtered Data'!AA$10:AA$333,$F119,'Filtered Data'!M$10:M$333)))</f>
        <v>91.587039990548789</v>
      </c>
      <c r="H119" s="311"/>
      <c r="I119" s="311"/>
      <c r="J119" s="311"/>
      <c r="K119" s="311"/>
      <c r="M119" s="235">
        <f>K$48</f>
        <v>100</v>
      </c>
      <c r="N119" s="235"/>
      <c r="O119" s="235">
        <f>M$48</f>
        <v>96.212121212121218</v>
      </c>
      <c r="P119" s="235"/>
      <c r="Q119" s="235">
        <f>O$48</f>
        <v>85.440613026819932</v>
      </c>
      <c r="R119" s="235"/>
      <c r="AN119" s="6"/>
    </row>
    <row r="120" spans="2:40" ht="12" customHeight="1">
      <c r="B120" s="5"/>
      <c r="F120" t="s">
        <v>382</v>
      </c>
      <c r="G120" s="311">
        <f>IF('Filtered Data'!H8="%%",(AVERAGEIF('Filtered Data'!AA$10:AA$333,$F120,'Filtered Data'!M$10:M$333))*100,(AVERAGEIF('Filtered Data'!AA$10:AA$333,$F120,'Filtered Data'!M$10:M$333)))</f>
        <v>92.289166639022952</v>
      </c>
      <c r="H120" s="311"/>
      <c r="I120" s="311"/>
      <c r="J120" s="311"/>
      <c r="K120" s="311"/>
      <c r="M120" s="235">
        <f>K$48</f>
        <v>100</v>
      </c>
      <c r="N120" s="235"/>
      <c r="O120" s="235">
        <f>M$48</f>
        <v>96.212121212121218</v>
      </c>
      <c r="P120" s="235"/>
      <c r="Q120" s="235">
        <f>O$48</f>
        <v>85.440613026819932</v>
      </c>
      <c r="R120" s="235"/>
      <c r="AN120" s="6"/>
    </row>
    <row r="121" spans="2:40" ht="12" customHeight="1">
      <c r="B121" s="5"/>
      <c r="F121" t="s">
        <v>892</v>
      </c>
      <c r="G121" s="311">
        <f>IF('Filtered Data'!H8="%%",(AVERAGEIF('Filtered Data'!AA$10:AA$333,$F121,'Filtered Data'!M$10:M$333))*100,(AVERAGEIF('Filtered Data'!AA$10:AA$333,$F121,'Filtered Data'!M$10:M$333)))</f>
        <v>92.722393885184587</v>
      </c>
      <c r="H121" s="311"/>
      <c r="I121" s="311"/>
      <c r="J121" s="311"/>
      <c r="K121" s="311"/>
      <c r="M121" s="235">
        <f>K$48</f>
        <v>100</v>
      </c>
      <c r="N121" s="235"/>
      <c r="O121" s="235">
        <f>M$48</f>
        <v>96.212121212121218</v>
      </c>
      <c r="P121" s="235"/>
      <c r="Q121" s="235">
        <f>O$48</f>
        <v>85.440613026819932</v>
      </c>
      <c r="R121" s="235"/>
      <c r="AN121" s="6"/>
    </row>
    <row r="122" spans="2:40" ht="12" customHeight="1">
      <c r="B122" s="5"/>
      <c r="G122" s="311"/>
      <c r="H122" s="311"/>
      <c r="I122" s="311"/>
      <c r="J122" s="311"/>
      <c r="K122" s="311"/>
      <c r="M122" s="235"/>
      <c r="N122" s="235"/>
      <c r="O122" s="235"/>
      <c r="P122" s="235"/>
      <c r="Q122" s="235"/>
      <c r="R122" s="235"/>
      <c r="AN122" s="6"/>
    </row>
    <row r="123" spans="2:40" ht="12" customHeight="1">
      <c r="B123" s="5"/>
      <c r="G123" s="311"/>
      <c r="H123" s="311"/>
      <c r="I123" s="311"/>
      <c r="J123" s="311"/>
      <c r="K123" s="311"/>
      <c r="M123" s="235"/>
      <c r="N123" s="235"/>
      <c r="O123" s="235"/>
      <c r="P123" s="235"/>
      <c r="Q123" s="235"/>
      <c r="R123" s="235"/>
      <c r="AN123" s="6"/>
    </row>
    <row r="124" spans="2:40" ht="12" customHeight="1">
      <c r="B124" s="5"/>
      <c r="G124" s="311"/>
      <c r="H124" s="311"/>
      <c r="I124" s="311"/>
      <c r="J124" s="311"/>
      <c r="K124" s="311"/>
      <c r="M124" s="235"/>
      <c r="N124" s="235"/>
      <c r="O124" s="235"/>
      <c r="P124" s="235"/>
      <c r="Q124" s="235"/>
      <c r="R124" s="23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312"/>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4"/>
    </row>
    <row r="140" spans="2:40">
      <c r="B140" s="312"/>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4"/>
    </row>
    <row r="141" spans="2:40">
      <c r="B141" s="312"/>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4"/>
    </row>
    <row r="142" spans="2:40">
      <c r="B142" s="312"/>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3"/>
      <c r="AJ142" s="313"/>
      <c r="AK142" s="313"/>
      <c r="AL142" s="313"/>
      <c r="AM142" s="313"/>
      <c r="AN142" s="314"/>
    </row>
    <row r="143" spans="2:40">
      <c r="B143" s="312"/>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313"/>
      <c r="AL143" s="313"/>
      <c r="AM143" s="313"/>
      <c r="AN143" s="314"/>
    </row>
    <row r="144" spans="2:40">
      <c r="B144" s="312"/>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4"/>
    </row>
    <row r="145" spans="2:40">
      <c r="B145" s="312"/>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4"/>
    </row>
    <row r="146" spans="2:40">
      <c r="B146" s="312"/>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4"/>
    </row>
    <row r="147" spans="2:40">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row>
    <row r="148" spans="2:40">
      <c r="B148" s="312"/>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4"/>
    </row>
    <row r="149" spans="2:40">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4"/>
    </row>
    <row r="150" spans="2:40">
      <c r="B150" s="312"/>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4"/>
    </row>
    <row r="151" spans="2:40">
      <c r="B151" s="312"/>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4"/>
    </row>
    <row r="152" spans="2:40">
      <c r="B152" s="312"/>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4"/>
    </row>
    <row r="153" spans="2:40">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4"/>
    </row>
    <row r="154" spans="2:40">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4"/>
    </row>
    <row r="155" spans="2:40">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4"/>
    </row>
    <row r="156" spans="2:40">
      <c r="B156" s="312"/>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4"/>
    </row>
    <row r="157" spans="2:40">
      <c r="B157" s="312"/>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4"/>
    </row>
    <row r="158" spans="2:40">
      <c r="B158" s="312"/>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4"/>
    </row>
    <row r="159" spans="2:40">
      <c r="B159" s="312"/>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4"/>
    </row>
    <row r="160" spans="2:40">
      <c r="B160" s="312"/>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4"/>
    </row>
    <row r="161" spans="2:40">
      <c r="B161" s="312"/>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4"/>
    </row>
    <row r="162" spans="2:40">
      <c r="B162" s="312"/>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4"/>
    </row>
    <row r="163" spans="2:40">
      <c r="B163" s="312"/>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4"/>
    </row>
    <row r="164" spans="2:40">
      <c r="B164" s="312"/>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4"/>
    </row>
    <row r="165" spans="2:40">
      <c r="B165" s="312"/>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4"/>
    </row>
    <row r="166" spans="2:40">
      <c r="B166" s="312"/>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4"/>
    </row>
    <row r="167" spans="2:40">
      <c r="B167" s="312"/>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4"/>
    </row>
    <row r="168" spans="2:40" ht="13.8" thickBot="1">
      <c r="B168" s="315"/>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c r="AK168" s="316"/>
      <c r="AL168" s="316"/>
      <c r="AM168" s="316"/>
      <c r="AN168" s="317"/>
    </row>
    <row r="169" spans="2:40"/>
  </sheetData>
  <sheetProtection algorithmName="SHA-512" hashValue="UVHZ74WboLDukdwSdfUtebjScysEQzhzsPD7BTcy/wM4th2omSkckih31euXxvsfgMt5ESSg4osG/05gcabC7A==" saltValue="OTFdUoet856GBN0usBCYUQ=="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K51" workbookViewId="0">
      <selection activeCell="Y63" sqref="Y6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2024 Q2</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66.666666666666657</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91.666666666666657</v>
      </c>
      <c r="R8" s="103" t="str">
        <f>IF(I8="A",IF(Q8&gt;Q10,"Bottom",IF(Q8&gt;P10,"Third",IF(Q8&gt;O10,"Second","Top"))),IF(Q8&gt;=O10,"Top",IF(Q8&gt;=P10,"Second",IF(Q8&gt;=Q10,"Third","Bottom"))))</f>
        <v>Third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0.92196160187098175</v>
      </c>
      <c r="N9" s="81"/>
      <c r="O9" s="84" t="s">
        <v>340</v>
      </c>
      <c r="P9" s="84" t="s">
        <v>351</v>
      </c>
      <c r="Q9" s="84" t="s">
        <v>352</v>
      </c>
      <c r="R9" s="86" t="s">
        <v>399</v>
      </c>
      <c r="S9" s="36"/>
      <c r="T9" s="168" t="s">
        <v>819</v>
      </c>
      <c r="U9" s="169">
        <f>IF($H$8="%.",(AVERAGE(U11:U333))/100,(AVERAGE(U11:U333)))</f>
        <v>0.91463583200425291</v>
      </c>
      <c r="V9" s="170"/>
      <c r="W9" s="170"/>
      <c r="X9" s="79" t="str">
        <f>"Lower Level Ranking for Authorites in "&amp;H3&amp;" &amp; are a "&amp;F3</f>
        <v>Lower Level Ranking for Authorites in Urban with Significant Rural &amp; are a UA</v>
      </c>
      <c r="Y9" s="81">
        <f>IF($H$8="%.",(AVERAGE(Y11:Y333))/100,(AVERAGE(Y11:Y333)))</f>
        <v>0.91750077303810496</v>
      </c>
      <c r="Z9" s="80"/>
      <c r="AA9" s="175" t="s">
        <v>378</v>
      </c>
      <c r="AB9" s="169">
        <f>IF($H$8="%.",(AVERAGE(AB11:AB333))/100,(AVERAGE(AB11:AB333)))</f>
        <v>0.92722393885184584</v>
      </c>
      <c r="AC9" s="176"/>
      <c r="AD9" s="176"/>
      <c r="AE9" s="37" t="s">
        <v>408</v>
      </c>
      <c r="AG9" s="81">
        <f>IF($H$8="%.",(AVERAGE(AG11:AG333))/100,(AVERAGE(AG11:AG333)))</f>
        <v>0.99973711882229221</v>
      </c>
      <c r="AI9" s="79" t="str">
        <f>"County Ranking &amp; Top Authorites in "&amp;I3&amp;" &amp; are a "&amp;F3</f>
        <v>County Ranking &amp; Top Authorites in Unitary &amp; are a UA</v>
      </c>
      <c r="AJ9" s="81">
        <f>IF($H$8="%.",(AVERAGE(AJ11:AJ333))/100,(AVERAGE(AJ11:AJ333)))</f>
        <v>0.92196160187098175</v>
      </c>
      <c r="AK9" s="80"/>
      <c r="AL9" s="44"/>
      <c r="AM9"/>
      <c r="AN9"/>
      <c r="AP9" s="79" t="str">
        <f>"Regional Ranking in for "&amp;F3</f>
        <v>Regional Ranking in for UA</v>
      </c>
      <c r="AQ9" s="81">
        <f>IF($H$8="%.",(AVERAGE(AQ11:AQ333))/100,(AVERAGE(AQ11:AQ333)))</f>
        <v>0.91354166666666659</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96.212121212121218</v>
      </c>
      <c r="Q10" s="88">
        <f>IF(I8="A",QUARTILE(N:N,3),QUARTILE(N:N,1))</f>
        <v>85.440613026819932</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2024 Q2</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0</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Bath &amp; North East Somerset</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Urban with Significant Rural</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Urban with Significant Rural</v>
      </c>
      <c r="AB11" s="173">
        <f>IF(AA11=$J$3,M11,"")</f>
        <v>100</v>
      </c>
      <c r="AC11" s="173">
        <f>IF(AB11="","",IF($I$8="A",(RANK(AB11,AB$11:AB$333)+COUNTIF(AB$11:AB11,AB11)-1),(RANK(AB11,AB$11:AB$333,1)+COUNTIF(AB$11:AB11,AB11)-1)))</f>
        <v>7</v>
      </c>
      <c r="AD11" s="173"/>
      <c r="AE11" s="45">
        <f>IF(I$8="A",(RANK(AG11,AG$11:AG$333,1)+COUNTIF(AG$11:AG11,AG11)-1),(RANK(AG11,AG$11:AG$333)+COUNTIF(AG$11:AG11,AG11)-1))</f>
        <v>317</v>
      </c>
      <c r="AF11" s="43" t="str">
        <f>'Filtered Data'!D3</f>
        <v>Cheshire East</v>
      </c>
      <c r="AG11" s="99">
        <f>VLOOKUP(Profile!$J$5,$C$11:$H$333,4,FALSE)</f>
        <v>91.666666666666657</v>
      </c>
      <c r="AH11" s="46">
        <f>AE11</f>
        <v>317</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Bath &amp; North East Somerset</v>
      </c>
      <c r="AN11">
        <f t="shared" ref="AN11:AN74" si="7">(VLOOKUP(AM11,L:M,2,FALSE))</f>
        <v>100</v>
      </c>
      <c r="AP11" s="5" t="str">
        <f>IF(L11="","",VLOOKUP($L11,classifications!$C:$E,3,FALSE))</f>
        <v>South West</v>
      </c>
      <c r="AQ11" s="42" t="str">
        <f>IF(AP11=$G$3,$M11,"")</f>
        <v/>
      </c>
      <c r="AR11" s="39" t="str">
        <f>IF(AQ11="","",IF(I$8="A",(RANK(AQ11,AQ$11:AQ$333,1)+COUNTIF(AQ$11:AQ11,AQ11)-1),(RANK(AQ11,AQ$11:AQ$333)+COUNTIF(AQ$11:AQ11,AQ11)-1)))</f>
        <v/>
      </c>
      <c r="AS11" s="39">
        <v>1</v>
      </c>
      <c r="AT11" s="39" t="str">
        <f t="shared" ref="AT11:AT74" si="8">IF(AS11="","",INDEX(L$11:L$333,MATCH(AS11,AR$11:AR$333,0)))</f>
        <v>Blackburn with Darwen</v>
      </c>
      <c r="AU11" s="42">
        <f t="shared" ref="AU11:AU74" si="9">IF(AT11="","",VLOOKUP(AT11,L:M,2,FALSE))</f>
        <v>100</v>
      </c>
      <c r="AX11">
        <f>HLOOKUP($AX$9&amp;$AX$10,Data!$A$1:$ZT$1975,(MATCH($C11,Data!$A$1:$A$1975,0)),FALSE)</f>
        <v>0</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91.666666666666657</v>
      </c>
      <c r="G12" s="15"/>
      <c r="H12" s="41">
        <f t="shared" si="1"/>
        <v>91.666666666666657</v>
      </c>
      <c r="I12" s="73">
        <f>IF(H12="","",IF($I$8="A",(RANK(H12,H$11:H$333,1)+COUNTIF(H$11:H12,H12)-1),(RANK(H12,H$11:H$333)+COUNTIF(H$11:H12,H12)-1)))</f>
        <v>37</v>
      </c>
      <c r="J12" s="40"/>
      <c r="K12" s="35">
        <f t="shared" ref="K12:K75" si="10">IF(K11="","",IF(K11+1&gt;(COUNT(H$11:H$333)),"",K11+1))</f>
        <v>2</v>
      </c>
      <c r="L12" t="str">
        <f t="shared" si="2"/>
        <v>Bedford</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f t="shared" si="4"/>
        <v>100</v>
      </c>
      <c r="Z12" s="39">
        <f>IF(Y12="","",IF(I$8="A",(RANK(Y12,Y$11:Y$333,1)+COUNTIF(Y$11:Y12,Y12)-1),(RANK(Y12,Y$11:Y$333)+COUNTIF(Y$11:Y12,Y12)-1)))</f>
        <v>2</v>
      </c>
      <c r="AA12" s="177" t="str">
        <f>IF(L12="","",VLOOKUP($L12,classifications!C:I,7,FALSE))</f>
        <v>Urban with Significant Rural</v>
      </c>
      <c r="AB12" s="173">
        <f t="shared" ref="AB12" si="14">IF(AA12=$J$3,M12,"")</f>
        <v>100</v>
      </c>
      <c r="AC12" s="173">
        <f>IF(AB12="","",IF($I$8="A",(RANK(AB12,AB$11:AB$333)+COUNTIF(AB$11:AB12,AB12)-1),(RANK(AB12,AB$11:AB$333,1)+COUNTIF(AB$11:AB12,AB12)-1)))</f>
        <v>8</v>
      </c>
      <c r="AD12" s="173"/>
      <c r="AE12" s="45">
        <f>IF(I$8="A",(RANK(AG12,AG$11:AG$333,1)+COUNTIF(AG$11:AG12,AG12)-1),(RANK(AG12,AG$11:AG$333)+COUNTIF(AG$11:AG12,AG12)-1))</f>
        <v>1</v>
      </c>
      <c r="AF12" t="str">
        <f>VLOOKUP(Profile!$J$5,Families!$C:$R,2,FALSE)</f>
        <v>Cheshire West &amp; Chester</v>
      </c>
      <c r="AG12" s="15">
        <f t="shared" ref="AG12:AG75" si="15">VLOOKUP(AF12,$C$11:$H$333,4,FALSE)</f>
        <v>100</v>
      </c>
      <c r="AH12" s="46">
        <f>AE12</f>
        <v>1</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Bedford</v>
      </c>
      <c r="AN12">
        <f t="shared" si="7"/>
        <v>100</v>
      </c>
      <c r="AP12" s="5" t="str">
        <f>IF(L12="","",VLOOKUP($L12,classifications!$C:$E,3,FALSE))</f>
        <v>East of England</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Cheshire West &amp; Chester</v>
      </c>
      <c r="AU12" s="42">
        <f t="shared" si="9"/>
        <v>100</v>
      </c>
      <c r="AX12">
        <f>HLOOKUP($AX$9&amp;$AX$10,Data!$A$1:$ZT$1975,(MATCH($C12,Data!$A$1:$A$1975,0)),FALSE)</f>
        <v>91.666666666666657</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100</v>
      </c>
      <c r="G13" s="15"/>
      <c r="H13" s="41" t="str">
        <f t="shared" si="1"/>
        <v/>
      </c>
      <c r="I13" s="73" t="str">
        <f>IF(H13="","",IF($I$8="A",(RANK(H13,H$11:H$333,1)+COUNTIF(H$11:H13,H13)-1),(RANK(H13,H$11:H$333)+COUNTIF(H$11:H13,H13)-1)))</f>
        <v/>
      </c>
      <c r="J13" s="40"/>
      <c r="K13" s="35">
        <f t="shared" si="10"/>
        <v>3</v>
      </c>
      <c r="L13" t="str">
        <f t="shared" si="2"/>
        <v>Blackburn with Darwen</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2</v>
      </c>
      <c r="AF13" t="str">
        <f>VLOOKUP(Profile!$J$5,Families!$C:$R,2,FALSE)</f>
        <v>Cheshire West &amp; Chester</v>
      </c>
      <c r="AG13" s="15">
        <f t="shared" si="15"/>
        <v>100</v>
      </c>
      <c r="AH13" s="46">
        <f t="shared" ref="AH13:AH57" si="28">AE13</f>
        <v>2</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Blackburn with Darwen</v>
      </c>
      <c r="AN13">
        <f t="shared" si="7"/>
        <v>100</v>
      </c>
      <c r="AP13" s="5" t="str">
        <f>IF(L13="","",VLOOKUP($L13,classifications!$C:$E,3,FALSE))</f>
        <v>North West</v>
      </c>
      <c r="AQ13" s="42">
        <f t="shared" ref="AQ13:AQ57" si="30">IF(AP13=$G$3,$M13,"")</f>
        <v>100</v>
      </c>
      <c r="AR13" s="39">
        <f>IF(AQ13="","",IF(I$8="A",(RANK(AQ13,AQ$11:AQ$333,1)+COUNTIF(AQ$11:AQ13,AQ13)-1),(RANK(AQ13,AQ$11:AQ$333)+COUNTIF(AQ$11:AQ13,AQ13)-1)))</f>
        <v>1</v>
      </c>
      <c r="AS13" s="3">
        <f t="shared" si="18"/>
        <v>3</v>
      </c>
      <c r="AT13" s="39" t="str">
        <f t="shared" si="8"/>
        <v>Warrington</v>
      </c>
      <c r="AU13" s="42">
        <f t="shared" si="9"/>
        <v>100</v>
      </c>
      <c r="AX13">
        <f>HLOOKUP($AX$9&amp;$AX$10,Data!$A$1:$ZT$1975,(MATCH($C13,Data!$A$1:$A$1975,0)),FALSE)</f>
        <v>100</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87.5</v>
      </c>
      <c r="G14" s="15"/>
      <c r="H14" s="41" t="str">
        <f t="shared" si="1"/>
        <v/>
      </c>
      <c r="I14" s="73" t="str">
        <f>IF(H14="","",IF($I$8="A",(RANK(H14,H$11:H$333,1)+COUNTIF(H$11:H14,H14)-1),(RANK(H14,H$11:H$333)+COUNTIF(H$11:H14,H14)-1)))</f>
        <v/>
      </c>
      <c r="J14" s="40"/>
      <c r="K14" s="35">
        <f t="shared" si="10"/>
        <v>4</v>
      </c>
      <c r="L14" t="str">
        <f t="shared" si="2"/>
        <v>Bracknell Forest</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3</v>
      </c>
      <c r="AF14" t="str">
        <f>VLOOKUP(Profile!$J$5,Families!$C:$R,2,FALSE)</f>
        <v>Cheshire West &amp; Chester</v>
      </c>
      <c r="AG14" s="15">
        <f t="shared" si="15"/>
        <v>100</v>
      </c>
      <c r="AH14" s="46">
        <f t="shared" si="28"/>
        <v>3</v>
      </c>
      <c r="AI14" s="5" t="str">
        <f>IF(L14="","",VLOOKUP($L14,classifications!$C:$J,8,FALSE))</f>
        <v>Unitary</v>
      </c>
      <c r="AJ14" s="42">
        <f t="shared" si="29"/>
        <v>100</v>
      </c>
      <c r="AK14" s="39">
        <f>IF(AJ14="","",IF(I$8="A",(RANK(AJ14,AJ$11:AJ$333,1)+COUNTIF(AJ$11:AJ14,AJ14)-1),(RANK(AJ14,AJ$11:AJ$333)+COUNTIF(AJ$11:AJ14,AJ14)-1)))</f>
        <v>4</v>
      </c>
      <c r="AL14" s="3">
        <f t="shared" si="16"/>
        <v>4</v>
      </c>
      <c r="AM14" t="str">
        <f t="shared" si="6"/>
        <v>Bracknell Forest</v>
      </c>
      <c r="AN14">
        <f t="shared" si="7"/>
        <v>100</v>
      </c>
      <c r="AP14" s="5" t="str">
        <f>IF(L14="","",VLOOKUP($L14,classifications!$C:$E,3,FALSE))</f>
        <v>South East</v>
      </c>
      <c r="AQ14" s="42" t="str">
        <f t="shared" si="30"/>
        <v/>
      </c>
      <c r="AR14" s="39" t="str">
        <f>IF(AQ14="","",IF(I$8="A",(RANK(AQ14,AQ$11:AQ$333,1)+COUNTIF(AQ$11:AQ14,AQ14)-1),(RANK(AQ14,AQ$11:AQ$333)+COUNTIF(AQ$11:AQ14,AQ14)-1)))</f>
        <v/>
      </c>
      <c r="AS14" s="3">
        <f t="shared" si="18"/>
        <v>4</v>
      </c>
      <c r="AT14" s="39" t="str">
        <f t="shared" si="8"/>
        <v>Cumberland</v>
      </c>
      <c r="AU14" s="42">
        <f t="shared" si="9"/>
        <v>91.666666666666657</v>
      </c>
      <c r="AX14">
        <f>HLOOKUP($AX$9&amp;$AX$10,Data!$A$1:$ZT$1975,(MATCH($C14,Data!$A$1:$A$1975,0)),FALSE)</f>
        <v>87.5</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100</v>
      </c>
      <c r="G15" s="15"/>
      <c r="H15" s="41" t="str">
        <f t="shared" si="1"/>
        <v/>
      </c>
      <c r="I15" s="73" t="str">
        <f>IF(H15="","",IF($I$8="A",(RANK(H15,H$11:H$333,1)+COUNTIF(H$11:H15,H15)-1),(RANK(H15,H$11:H$333)+COUNTIF(H$11:H15,H15)-1)))</f>
        <v/>
      </c>
      <c r="J15" s="40"/>
      <c r="K15" s="35">
        <f t="shared" si="10"/>
        <v>5</v>
      </c>
      <c r="L15" t="str">
        <f t="shared" si="2"/>
        <v>Cheshire West &amp; Chester</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Urban with Significant Rural</v>
      </c>
      <c r="Y15">
        <f t="shared" si="26"/>
        <v>100</v>
      </c>
      <c r="Z15" s="39">
        <f>IF(Y15="","",IF(I$8="A",(RANK(Y15,Y$11:Y$333,1)+COUNTIF(Y$11:Y15,Y15)-1),(RANK(Y15,Y$11:Y$333)+COUNTIF(Y$11:Y15,Y15)-1)))</f>
        <v>3</v>
      </c>
      <c r="AA15" s="177" t="str">
        <f>IF(L15="","",VLOOKUP($L15,classifications!C:I,7,FALSE))</f>
        <v>Urban with Significant Rural</v>
      </c>
      <c r="AB15" s="173">
        <f t="shared" si="27"/>
        <v>100</v>
      </c>
      <c r="AC15" s="173">
        <f>IF(AB15="","",IF($I$8="A",(RANK(AB15,AB$11:AB$333)+COUNTIF(AB$11:AB15,AB15)-1),(RANK(AB15,AB$11:AB$333,1)+COUNTIF(AB$11:AB15,AB15)-1)))</f>
        <v>9</v>
      </c>
      <c r="AD15" s="173"/>
      <c r="AE15" s="45">
        <f>IF(I$8="A",(RANK(AG15,AG$11:AG$333,1)+COUNTIF(AG$11:AG15,AG15)-1),(RANK(AG15,AG$11:AG$333)+COUNTIF(AG$11:AG15,AG15)-1))</f>
        <v>4</v>
      </c>
      <c r="AF15" t="str">
        <f>VLOOKUP(Profile!$J$5,Families!$C:$R,2,FALSE)</f>
        <v>Cheshire West &amp; Chester</v>
      </c>
      <c r="AG15" s="15">
        <f t="shared" si="15"/>
        <v>100</v>
      </c>
      <c r="AH15" s="46">
        <f t="shared" si="28"/>
        <v>4</v>
      </c>
      <c r="AI15" s="5" t="str">
        <f>IF(L15="","",VLOOKUP($L15,classifications!$C:$J,8,FALSE))</f>
        <v>Unitary</v>
      </c>
      <c r="AJ15" s="42">
        <f t="shared" si="29"/>
        <v>100</v>
      </c>
      <c r="AK15" s="39">
        <f>IF(AJ15="","",IF(I$8="A",(RANK(AJ15,AJ$11:AJ$333,1)+COUNTIF(AJ$11:AJ15,AJ15)-1),(RANK(AJ15,AJ$11:AJ$333)+COUNTIF(AJ$11:AJ15,AJ15)-1)))</f>
        <v>5</v>
      </c>
      <c r="AL15" s="3">
        <f t="shared" si="16"/>
        <v>5</v>
      </c>
      <c r="AM15" t="str">
        <f t="shared" si="6"/>
        <v>Cheshire West &amp; Chester</v>
      </c>
      <c r="AN15">
        <f t="shared" si="7"/>
        <v>100</v>
      </c>
      <c r="AP15" s="5" t="str">
        <f>IF(L15="","",VLOOKUP($L15,classifications!$C:$E,3,FALSE))</f>
        <v>North West</v>
      </c>
      <c r="AQ15" s="42">
        <f t="shared" si="30"/>
        <v>100</v>
      </c>
      <c r="AR15" s="39">
        <f>IF(AQ15="","",IF(I$8="A",(RANK(AQ15,AQ$11:AQ$333,1)+COUNTIF(AQ$11:AQ15,AQ15)-1),(RANK(AQ15,AQ$11:AQ$333)+COUNTIF(AQ$11:AQ15,AQ15)-1)))</f>
        <v>2</v>
      </c>
      <c r="AS15" s="3">
        <f t="shared" si="18"/>
        <v>5</v>
      </c>
      <c r="AT15" s="39" t="str">
        <f t="shared" si="8"/>
        <v>Cheshire East</v>
      </c>
      <c r="AU15" s="42">
        <f t="shared" si="9"/>
        <v>91.666666666666657</v>
      </c>
      <c r="AX15">
        <f>HLOOKUP($AX$9&amp;$AX$10,Data!$A$1:$ZT$1975,(MATCH($C15,Data!$A$1:$A$1975,0)),FALSE)</f>
        <v>100</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100</v>
      </c>
      <c r="G16" s="15"/>
      <c r="H16" s="41" t="str">
        <f t="shared" si="1"/>
        <v/>
      </c>
      <c r="I16" s="73" t="str">
        <f>IF(H16="","",IF($I$8="A",(RANK(H16,H$11:H$333,1)+COUNTIF(H$11:H16,H16)-1),(RANK(H16,H$11:H$333)+COUNTIF(H$11:H16,H16)-1)))</f>
        <v/>
      </c>
      <c r="J16" s="40"/>
      <c r="K16" s="35">
        <f t="shared" si="10"/>
        <v>6</v>
      </c>
      <c r="L16" t="str">
        <f t="shared" si="2"/>
        <v>Cornwall</v>
      </c>
      <c r="M16" s="109">
        <f t="shared" si="3"/>
        <v>100</v>
      </c>
      <c r="N16" s="104">
        <f t="shared" si="19"/>
        <v>100</v>
      </c>
      <c r="O16" s="89">
        <f t="shared" si="20"/>
        <v>100</v>
      </c>
      <c r="P16" s="89" t="str">
        <f t="shared" si="21"/>
        <v/>
      </c>
      <c r="Q16" s="89" t="str">
        <f t="shared" si="22"/>
        <v/>
      </c>
      <c r="R16" s="85" t="str">
        <f t="shared" si="23"/>
        <v/>
      </c>
      <c r="S16" s="41" t="str">
        <f t="shared" si="24"/>
        <v/>
      </c>
      <c r="T16" s="166" t="str">
        <f>IF(L16="","",VLOOKUP(L16,classifications!C:K,9,FALSE))</f>
        <v>Sparse</v>
      </c>
      <c r="U16" s="167">
        <f t="shared" si="25"/>
        <v>100</v>
      </c>
      <c r="V16" s="173">
        <f>IF(U16="","",IF($I$8="A",(RANK(U16,U$11:U$333)+COUNTIF(U$11:U16,U16)-1),(RANK(U16,U$11:U$333,1)+COUNTIF(U$11:U16,U16)-1)))</f>
        <v>13</v>
      </c>
      <c r="W16" s="174"/>
      <c r="X16" s="5" t="str">
        <f>IF(L16="","",VLOOKUP($L16,classifications!$C:$J,6,FALSE))</f>
        <v xml:space="preserve">Predominantly Rural </v>
      </c>
      <c r="Y16">
        <f t="shared" si="26"/>
        <v>100</v>
      </c>
      <c r="Z16" s="39">
        <f>IF(Y16="","",IF(I$8="A",(RANK(Y16,Y$11:Y$333,1)+COUNTIF(Y$11:Y16,Y16)-1),(RANK(Y16,Y$11:Y$333)+COUNTIF(Y$11:Y16,Y16)-1)))</f>
        <v>4</v>
      </c>
      <c r="AA16" s="177" t="str">
        <f>IF(L16="","",VLOOKUP($L16,classifications!C:I,7,FALSE))</f>
        <v>Predominantly Rural</v>
      </c>
      <c r="AB16" s="173" t="str">
        <f t="shared" si="27"/>
        <v/>
      </c>
      <c r="AC16" s="173" t="str">
        <f>IF(AB16="","",IF($I$8="A",(RANK(AB16,AB$11:AB$333)+COUNTIF(AB$11:AB16,AB16)-1),(RANK(AB16,AB$11:AB$333,1)+COUNTIF(AB$11:AB16,AB16)-1)))</f>
        <v/>
      </c>
      <c r="AD16" s="173"/>
      <c r="AE16" s="45">
        <f>IF(I$8="A",(RANK(AG16,AG$11:AG$333,1)+COUNTIF(AG$11:AG16,AG16)-1),(RANK(AG16,AG$11:AG$333)+COUNTIF(AG$11:AG16,AG16)-1))</f>
        <v>5</v>
      </c>
      <c r="AF16" t="str">
        <f>VLOOKUP(Profile!$J$5,Families!$C:$R,2,FALSE)</f>
        <v>Cheshire West &amp; Chester</v>
      </c>
      <c r="AG16" s="15">
        <f t="shared" si="15"/>
        <v>100</v>
      </c>
      <c r="AH16" s="46">
        <f t="shared" si="28"/>
        <v>5</v>
      </c>
      <c r="AI16" s="5" t="str">
        <f>IF(L16="","",VLOOKUP($L16,classifications!$C:$J,8,FALSE))</f>
        <v>Unitary</v>
      </c>
      <c r="AJ16" s="42">
        <f t="shared" si="29"/>
        <v>100</v>
      </c>
      <c r="AK16" s="39">
        <f>IF(AJ16="","",IF(I$8="A",(RANK(AJ16,AJ$11:AJ$333,1)+COUNTIF(AJ$11:AJ16,AJ16)-1),(RANK(AJ16,AJ$11:AJ$333)+COUNTIF(AJ$11:AJ16,AJ16)-1)))</f>
        <v>6</v>
      </c>
      <c r="AL16" s="3">
        <f t="shared" si="16"/>
        <v>6</v>
      </c>
      <c r="AM16" t="str">
        <f t="shared" si="6"/>
        <v>Cornwall</v>
      </c>
      <c r="AN16">
        <f t="shared" si="7"/>
        <v>100</v>
      </c>
      <c r="AP16" s="5" t="str">
        <f>IF(L16="","",VLOOKUP($L16,classifications!$C:$E,3,FALSE))</f>
        <v>South West</v>
      </c>
      <c r="AQ16" s="42" t="str">
        <f t="shared" si="30"/>
        <v/>
      </c>
      <c r="AR16" s="39" t="str">
        <f>IF(AQ16="","",IF(I$8="A",(RANK(AQ16,AQ$11:AQ$333,1)+COUNTIF(AQ$11:AQ16,AQ16)-1),(RANK(AQ16,AQ$11:AQ$333)+COUNTIF(AQ$11:AQ16,AQ16)-1)))</f>
        <v/>
      </c>
      <c r="AS16" s="3">
        <f t="shared" si="18"/>
        <v>6</v>
      </c>
      <c r="AT16" s="39" t="str">
        <f t="shared" si="8"/>
        <v>Westmorland &amp; Furness</v>
      </c>
      <c r="AU16" s="42">
        <f t="shared" si="9"/>
        <v>87.5</v>
      </c>
      <c r="AX16">
        <f>HLOOKUP($AX$9&amp;$AX$10,Data!$A$1:$ZT$1975,(MATCH($C16,Data!$A$1:$A$1975,0)),FALSE)</f>
        <v>100</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100</v>
      </c>
      <c r="G17" s="15"/>
      <c r="H17" s="41" t="str">
        <f t="shared" si="1"/>
        <v/>
      </c>
      <c r="I17" s="73" t="str">
        <f>IF(H17="","",IF($I$8="A",(RANK(H17,H$11:H$333,1)+COUNTIF(H$11:H17,H17)-1),(RANK(H17,H$11:H$333)+COUNTIF(H$11:H17,H17)-1)))</f>
        <v/>
      </c>
      <c r="J17" s="40"/>
      <c r="K17" s="35">
        <f t="shared" si="10"/>
        <v>7</v>
      </c>
      <c r="L17" t="str">
        <f t="shared" si="2"/>
        <v>Darlington</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6</v>
      </c>
      <c r="AF17" t="str">
        <f>VLOOKUP(Profile!$J$5,Families!$C:$R,2,FALSE)</f>
        <v>Cheshire West &amp; Chester</v>
      </c>
      <c r="AG17" s="15">
        <f t="shared" si="15"/>
        <v>100</v>
      </c>
      <c r="AH17" s="46">
        <f t="shared" si="28"/>
        <v>6</v>
      </c>
      <c r="AI17" s="5" t="str">
        <f>IF(L17="","",VLOOKUP($L17,classifications!$C:$J,8,FALSE))</f>
        <v>Unitary</v>
      </c>
      <c r="AJ17" s="42">
        <f t="shared" si="29"/>
        <v>100</v>
      </c>
      <c r="AK17" s="39">
        <f>IF(AJ17="","",IF(I$8="A",(RANK(AJ17,AJ$11:AJ$333,1)+COUNTIF(AJ$11:AJ17,AJ17)-1),(RANK(AJ17,AJ$11:AJ$333)+COUNTIF(AJ$11:AJ17,AJ17)-1)))</f>
        <v>7</v>
      </c>
      <c r="AL17" s="3">
        <f t="shared" si="16"/>
        <v>7</v>
      </c>
      <c r="AM17" t="str">
        <f t="shared" si="6"/>
        <v>Darlington</v>
      </c>
      <c r="AN17">
        <f t="shared" si="7"/>
        <v>100</v>
      </c>
      <c r="AP17" s="5" t="str">
        <f>IF(L17="","",VLOOKUP($L17,classifications!$C:$E,3,FALSE))</f>
        <v>NE</v>
      </c>
      <c r="AQ17" s="42" t="str">
        <f t="shared" si="30"/>
        <v/>
      </c>
      <c r="AR17" s="39" t="str">
        <f>IF(AQ17="","",IF(I$8="A",(RANK(AQ17,AQ$11:AQ$333,1)+COUNTIF(AQ$11:AQ17,AQ17)-1),(RANK(AQ17,AQ$11:AQ$333)+COUNTIF(AQ$11:AQ17,AQ17)-1)))</f>
        <v/>
      </c>
      <c r="AS17" s="3">
        <f t="shared" si="18"/>
        <v>7</v>
      </c>
      <c r="AT17" s="39" t="str">
        <f t="shared" si="8"/>
        <v>Blackpool</v>
      </c>
      <c r="AU17" s="42">
        <f t="shared" si="9"/>
        <v>80</v>
      </c>
      <c r="AX17">
        <f>HLOOKUP($AX$9&amp;$AX$10,Data!$A$1:$ZT$1975,(MATCH($C17,Data!$A$1:$A$1975,0)),FALSE)</f>
        <v>100</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Dorset</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Rural</v>
      </c>
      <c r="Y18" t="str">
        <f t="shared" si="26"/>
        <v/>
      </c>
      <c r="Z18" s="39" t="str">
        <f>IF(Y18="","",IF(I$8="A",(RANK(Y18,Y$11:Y$333,1)+COUNTIF(Y$11:Y18,Y18)-1),(RANK(Y18,Y$11:Y$333)+COUNTIF(Y$11:Y18,Y18)-1)))</f>
        <v/>
      </c>
      <c r="AA18" s="177" t="str">
        <f>IF(L18="","",VLOOKUP($L18,classifications!C:I,7,FALSE))</f>
        <v>Predominantly Rural</v>
      </c>
      <c r="AB18" s="173" t="str">
        <f t="shared" si="27"/>
        <v/>
      </c>
      <c r="AC18" s="173" t="str">
        <f>IF(AB18="","",IF($I$8="A",(RANK(AB18,AB$11:AB$333)+COUNTIF(AB$11:AB18,AB18)-1),(RANK(AB18,AB$11:AB$333,1)+COUNTIF(AB$11:AB18,AB18)-1)))</f>
        <v/>
      </c>
      <c r="AD18" s="173"/>
      <c r="AE18" s="45">
        <f>IF(I$8="A",(RANK(AG18,AG$11:AG$333,1)+COUNTIF(AG$11:AG18,AG18)-1),(RANK(AG18,AG$11:AG$333)+COUNTIF(AG$11:AG18,AG18)-1))</f>
        <v>7</v>
      </c>
      <c r="AF18" t="str">
        <f>VLOOKUP(Profile!$J$5,Families!$C:$R,2,FALSE)</f>
        <v>Cheshire West &amp; Chester</v>
      </c>
      <c r="AG18" s="15">
        <f t="shared" si="15"/>
        <v>100</v>
      </c>
      <c r="AH18" s="46">
        <f t="shared" si="28"/>
        <v>7</v>
      </c>
      <c r="AI18" s="5" t="str">
        <f>IF(L18="","",VLOOKUP($L18,classifications!$C:$J,8,FALSE))</f>
        <v>Unitary</v>
      </c>
      <c r="AJ18" s="42">
        <f t="shared" si="29"/>
        <v>100</v>
      </c>
      <c r="AK18" s="39">
        <f>IF(AJ18="","",IF(I$8="A",(RANK(AJ18,AJ$11:AJ$333,1)+COUNTIF(AJ$11:AJ18,AJ18)-1),(RANK(AJ18,AJ$11:AJ$333)+COUNTIF(AJ$11:AJ18,AJ18)-1)))</f>
        <v>8</v>
      </c>
      <c r="AL18" s="3">
        <f t="shared" si="16"/>
        <v>8</v>
      </c>
      <c r="AM18" t="str">
        <f t="shared" si="6"/>
        <v>Dorset</v>
      </c>
      <c r="AN18">
        <f t="shared" si="7"/>
        <v>100</v>
      </c>
      <c r="AP18" s="5" t="str">
        <f>IF(L18="","",VLOOKUP($L18,classifications!$C:$E,3,FALSE))</f>
        <v>South West</v>
      </c>
      <c r="AQ18" s="42" t="str">
        <f t="shared" si="30"/>
        <v/>
      </c>
      <c r="AR18" s="39" t="str">
        <f>IF(AQ18="","",IF(I$8="A",(RANK(AQ18,AQ$11:AQ$333,1)+COUNTIF(AQ$11:AQ18,AQ18)-1),(RANK(AQ18,AQ$11:AQ$333)+COUNTIF(AQ$11:AQ18,AQ18)-1)))</f>
        <v/>
      </c>
      <c r="AS18" s="3">
        <f t="shared" si="18"/>
        <v>8</v>
      </c>
      <c r="AT18" s="39" t="str">
        <f t="shared" si="8"/>
        <v>Halton</v>
      </c>
      <c r="AU18" s="42">
        <f t="shared" si="9"/>
        <v>80</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93.333333333333329</v>
      </c>
      <c r="G19" s="15"/>
      <c r="H19" s="41" t="str">
        <f t="shared" si="1"/>
        <v/>
      </c>
      <c r="I19" s="73" t="str">
        <f>IF(H19="","",IF($I$8="A",(RANK(H19,H$11:H$333,1)+COUNTIF(H$11:H19,H19)-1),(RANK(H19,H$11:H$333)+COUNTIF(H$11:H19,H19)-1)))</f>
        <v/>
      </c>
      <c r="J19" s="40"/>
      <c r="K19" s="35">
        <f t="shared" si="10"/>
        <v>9</v>
      </c>
      <c r="L19" t="str">
        <f t="shared" si="2"/>
        <v>Hartlepool</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8</v>
      </c>
      <c r="AF19" t="str">
        <f>VLOOKUP(Profile!$J$5,Families!$C:$R,2,FALSE)</f>
        <v>Cheshire West &amp; Chester</v>
      </c>
      <c r="AG19" s="15">
        <f t="shared" si="15"/>
        <v>100</v>
      </c>
      <c r="AH19" s="46">
        <f t="shared" si="28"/>
        <v>8</v>
      </c>
      <c r="AI19" s="5" t="str">
        <f>IF(L19="","",VLOOKUP($L19,classifications!$C:$J,8,FALSE))</f>
        <v>Unitary</v>
      </c>
      <c r="AJ19" s="42">
        <f t="shared" si="29"/>
        <v>100</v>
      </c>
      <c r="AK19" s="39">
        <f>IF(AJ19="","",IF(I$8="A",(RANK(AJ19,AJ$11:AJ$333,1)+COUNTIF(AJ$11:AJ19,AJ19)-1),(RANK(AJ19,AJ$11:AJ$333)+COUNTIF(AJ$11:AJ19,AJ19)-1)))</f>
        <v>9</v>
      </c>
      <c r="AL19" s="3">
        <f t="shared" si="16"/>
        <v>9</v>
      </c>
      <c r="AM19" t="str">
        <f t="shared" si="6"/>
        <v>Hartlepool</v>
      </c>
      <c r="AN19">
        <f t="shared" si="7"/>
        <v>100</v>
      </c>
      <c r="AP19" s="5" t="str">
        <f>IF(L19="","",VLOOKUP($L19,classifications!$C:$E,3,FALSE))</f>
        <v>NE</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93.333333333333329</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Herefordshire</v>
      </c>
      <c r="M20" s="109">
        <f t="shared" si="3"/>
        <v>100</v>
      </c>
      <c r="N20" s="104">
        <f t="shared" si="19"/>
        <v>100</v>
      </c>
      <c r="O20" s="89">
        <f t="shared" si="20"/>
        <v>100</v>
      </c>
      <c r="P20" s="89" t="str">
        <f t="shared" si="21"/>
        <v/>
      </c>
      <c r="Q20" s="89" t="str">
        <f t="shared" si="22"/>
        <v/>
      </c>
      <c r="R20" s="85" t="str">
        <f t="shared" si="23"/>
        <v/>
      </c>
      <c r="S20" s="41" t="str">
        <f t="shared" si="24"/>
        <v/>
      </c>
      <c r="T20" s="166" t="str">
        <f>IF(L20="","",VLOOKUP(L20,classifications!C:K,9,FALSE))</f>
        <v>Sparse</v>
      </c>
      <c r="U20" s="167">
        <f t="shared" si="25"/>
        <v>100</v>
      </c>
      <c r="V20" s="173">
        <f>IF(U20="","",IF($I$8="A",(RANK(U20,U$11:U$333)+COUNTIF(U$11:U20,U20)-1),(RANK(U20,U$11:U$333,1)+COUNTIF(U$11:U20,U20)-1)))</f>
        <v>14</v>
      </c>
      <c r="W20" s="174"/>
      <c r="X20" s="5" t="str">
        <f>IF(L20="","",VLOOKUP($L20,classifications!$C:$J,6,FALSE))</f>
        <v xml:space="preserve">Predominantly Rural </v>
      </c>
      <c r="Y20">
        <f t="shared" si="26"/>
        <v>100</v>
      </c>
      <c r="Z20" s="39">
        <f>IF(Y20="","",IF(I$8="A",(RANK(Y20,Y$11:Y$333,1)+COUNTIF(Y$11:Y20,Y20)-1),(RANK(Y20,Y$11:Y$333)+COUNTIF(Y$11:Y20,Y20)-1)))</f>
        <v>5</v>
      </c>
      <c r="AA20" s="177" t="str">
        <f>IF(L20="","",VLOOKUP($L20,classifications!C:I,7,FALSE))</f>
        <v>Predominantly Rural</v>
      </c>
      <c r="AB20" s="173" t="str">
        <f t="shared" si="27"/>
        <v/>
      </c>
      <c r="AC20" s="173" t="str">
        <f>IF(AB20="","",IF($I$8="A",(RANK(AB20,AB$11:AB$333)+COUNTIF(AB$11:AB20,AB20)-1),(RANK(AB20,AB$11:AB$333,1)+COUNTIF(AB$11:AB20,AB20)-1)))</f>
        <v/>
      </c>
      <c r="AD20" s="173"/>
      <c r="AE20" s="45">
        <f>IF(I$8="A",(RANK(AG20,AG$11:AG$333,1)+COUNTIF(AG$11:AG20,AG20)-1),(RANK(AG20,AG$11:AG$333)+COUNTIF(AG$11:AG20,AG20)-1))</f>
        <v>9</v>
      </c>
      <c r="AF20" t="str">
        <f>VLOOKUP(Profile!$J$5,Families!$C:$R,2,FALSE)</f>
        <v>Cheshire West &amp; Chester</v>
      </c>
      <c r="AG20" s="15">
        <f t="shared" si="15"/>
        <v>100</v>
      </c>
      <c r="AH20" s="46">
        <f t="shared" si="28"/>
        <v>9</v>
      </c>
      <c r="AI20" s="5" t="str">
        <f>IF(L20="","",VLOOKUP($L20,classifications!$C:$J,8,FALSE))</f>
        <v>Unitary</v>
      </c>
      <c r="AJ20" s="42">
        <f t="shared" si="29"/>
        <v>100</v>
      </c>
      <c r="AK20" s="39">
        <f>IF(AJ20="","",IF(I$8="A",(RANK(AJ20,AJ$11:AJ$333,1)+COUNTIF(AJ$11:AJ20,AJ20)-1),(RANK(AJ20,AJ$11:AJ$333)+COUNTIF(AJ$11:AJ20,AJ20)-1)))</f>
        <v>10</v>
      </c>
      <c r="AL20" s="3">
        <f t="shared" si="16"/>
        <v>10</v>
      </c>
      <c r="AM20" t="str">
        <f t="shared" si="6"/>
        <v>Herefordshire</v>
      </c>
      <c r="AN20">
        <f t="shared" si="7"/>
        <v>100</v>
      </c>
      <c r="AP20" s="5" t="str">
        <f>IF(L20="","",VLOOKUP($L20,classifications!$C:$E,3,FALSE))</f>
        <v>West Midlands</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87.5</v>
      </c>
      <c r="G21" s="15"/>
      <c r="H21" s="41">
        <f t="shared" si="1"/>
        <v>87.5</v>
      </c>
      <c r="I21" s="73">
        <f>IF(H21="","",IF($I$8="A",(RANK(H21,H$11:H$333,1)+COUNTIF(H$11:H21,H21)-1),(RANK(H21,H$11:H$333)+COUNTIF(H$11:H21,H21)-1)))</f>
        <v>42</v>
      </c>
      <c r="J21" s="40"/>
      <c r="K21" s="35">
        <f t="shared" si="10"/>
        <v>11</v>
      </c>
      <c r="L21" t="str">
        <f t="shared" si="2"/>
        <v>Kingston upon Hull</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10</v>
      </c>
      <c r="AF21" t="str">
        <f>VLOOKUP(Profile!$J$5,Families!$C:$R,2,FALSE)</f>
        <v>Cheshire West &amp; Chester</v>
      </c>
      <c r="AG21" s="15">
        <f t="shared" si="15"/>
        <v>100</v>
      </c>
      <c r="AH21" s="46">
        <f t="shared" si="28"/>
        <v>10</v>
      </c>
      <c r="AI21" s="5" t="str">
        <f>IF(L21="","",VLOOKUP($L21,classifications!$C:$J,8,FALSE))</f>
        <v>Unitary</v>
      </c>
      <c r="AJ21" s="42">
        <f t="shared" si="29"/>
        <v>100</v>
      </c>
      <c r="AK21" s="39">
        <f>IF(AJ21="","",IF(I$8="A",(RANK(AJ21,AJ$11:AJ$333,1)+COUNTIF(AJ$11:AJ21,AJ21)-1),(RANK(AJ21,AJ$11:AJ$333)+COUNTIF(AJ$11:AJ21,AJ21)-1)))</f>
        <v>11</v>
      </c>
      <c r="AL21" s="3">
        <f t="shared" si="16"/>
        <v>11</v>
      </c>
      <c r="AM21" t="str">
        <f t="shared" si="6"/>
        <v>Kingston upon Hull</v>
      </c>
      <c r="AN21">
        <f t="shared" si="7"/>
        <v>100</v>
      </c>
      <c r="AP21" s="5" t="str">
        <f>IF(L21="","",VLOOKUP($L21,classifications!$C:$E,3,FALSE))</f>
        <v>Yorkshire &amp; Humberside</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87.5</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80</v>
      </c>
      <c r="G22" s="15"/>
      <c r="H22" s="41" t="str">
        <f t="shared" si="1"/>
        <v/>
      </c>
      <c r="I22" s="73" t="str">
        <f>IF(H22="","",IF($I$8="A",(RANK(H22,H$11:H$333,1)+COUNTIF(H$11:H22,H22)-1),(RANK(H22,H$11:H$333)+COUNTIF(H$11:H22,H22)-1)))</f>
        <v/>
      </c>
      <c r="J22" s="40"/>
      <c r="K22" s="35">
        <f t="shared" si="10"/>
        <v>12</v>
      </c>
      <c r="L22" t="str">
        <f t="shared" si="2"/>
        <v>Leicester</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11</v>
      </c>
      <c r="AF22" t="str">
        <f>VLOOKUP(Profile!$J$5,Families!$C:$R,2,FALSE)</f>
        <v>Cheshire West &amp; Chester</v>
      </c>
      <c r="AG22" s="15">
        <f t="shared" si="15"/>
        <v>100</v>
      </c>
      <c r="AH22" s="46">
        <f t="shared" si="28"/>
        <v>11</v>
      </c>
      <c r="AI22" s="5" t="str">
        <f>IF(L22="","",VLOOKUP($L22,classifications!$C:$J,8,FALSE))</f>
        <v>Unitary</v>
      </c>
      <c r="AJ22" s="42">
        <f t="shared" si="29"/>
        <v>100</v>
      </c>
      <c r="AK22" s="39">
        <f>IF(AJ22="","",IF(I$8="A",(RANK(AJ22,AJ$11:AJ$333,1)+COUNTIF(AJ$11:AJ22,AJ22)-1),(RANK(AJ22,AJ$11:AJ$333)+COUNTIF(AJ$11:AJ22,AJ22)-1)))</f>
        <v>12</v>
      </c>
      <c r="AL22" s="3">
        <f t="shared" si="16"/>
        <v>12</v>
      </c>
      <c r="AM22" t="str">
        <f t="shared" si="6"/>
        <v>Leicester</v>
      </c>
      <c r="AN22">
        <f t="shared" si="7"/>
        <v>100</v>
      </c>
      <c r="AP22" s="5" t="str">
        <f>IF(L22="","",VLOOKUP($L22,classifications!$C:$E,3,FALSE))</f>
        <v>East Midlands</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80</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77.777777777777786</v>
      </c>
      <c r="G23" s="15"/>
      <c r="H23" s="41" t="str">
        <f t="shared" si="1"/>
        <v/>
      </c>
      <c r="I23" s="73" t="str">
        <f>IF(H23="","",IF($I$8="A",(RANK(H23,H$11:H$333,1)+COUNTIF(H$11:H23,H23)-1),(RANK(H23,H$11:H$333)+COUNTIF(H$11:H23,H23)-1)))</f>
        <v/>
      </c>
      <c r="J23" s="40"/>
      <c r="K23" s="35">
        <f t="shared" si="10"/>
        <v>13</v>
      </c>
      <c r="L23" t="str">
        <f t="shared" si="2"/>
        <v>Middlesbrough</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12</v>
      </c>
      <c r="AF23" t="str">
        <f>VLOOKUP(Profile!$J$5,Families!$C:$R,2,FALSE)</f>
        <v>Cheshire West &amp; Chester</v>
      </c>
      <c r="AG23" s="15">
        <f t="shared" si="15"/>
        <v>100</v>
      </c>
      <c r="AH23" s="46">
        <f t="shared" si="28"/>
        <v>12</v>
      </c>
      <c r="AI23" s="5" t="str">
        <f>IF(L23="","",VLOOKUP($L23,classifications!$C:$J,8,FALSE))</f>
        <v>Unitary</v>
      </c>
      <c r="AJ23" s="42">
        <f t="shared" si="29"/>
        <v>100</v>
      </c>
      <c r="AK23" s="39">
        <f>IF(AJ23="","",IF(I$8="A",(RANK(AJ23,AJ$11:AJ$333,1)+COUNTIF(AJ$11:AJ23,AJ23)-1),(RANK(AJ23,AJ$11:AJ$333)+COUNTIF(AJ$11:AJ23,AJ23)-1)))</f>
        <v>13</v>
      </c>
      <c r="AL23" s="3">
        <f t="shared" si="16"/>
        <v>13</v>
      </c>
      <c r="AM23" t="str">
        <f t="shared" si="6"/>
        <v>Middlesbrough</v>
      </c>
      <c r="AN23">
        <f t="shared" si="7"/>
        <v>100</v>
      </c>
      <c r="AP23" s="5" t="str">
        <f>IF(L23="","",VLOOKUP($L23,classifications!$C:$E,3,FALSE))</f>
        <v>NE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77.777777777777786</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90</v>
      </c>
      <c r="G24" s="15"/>
      <c r="H24" s="41" t="str">
        <f t="shared" si="1"/>
        <v/>
      </c>
      <c r="I24" s="73" t="str">
        <f>IF(H24="","",IF($I$8="A",(RANK(H24,H$11:H$333,1)+COUNTIF(H$11:H24,H24)-1),(RANK(H24,H$11:H$333)+COUNTIF(H$11:H24,H24)-1)))</f>
        <v/>
      </c>
      <c r="J24" s="40"/>
      <c r="K24" s="35">
        <f t="shared" si="10"/>
        <v>14</v>
      </c>
      <c r="L24" t="str">
        <f t="shared" si="2"/>
        <v>Milton Keynes</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f>IF(I$8="A",(RANK(AG24,AG$11:AG$333,1)+COUNTIF(AG$11:AG24,AG24)-1),(RANK(AG24,AG$11:AG$333)+COUNTIF(AG$11:AG24,AG24)-1))</f>
        <v>13</v>
      </c>
      <c r="AF24" t="str">
        <f>VLOOKUP(Profile!$J$5,Families!$C:$R,2,FALSE)</f>
        <v>Cheshire West &amp; Chester</v>
      </c>
      <c r="AG24" s="15">
        <f t="shared" si="15"/>
        <v>100</v>
      </c>
      <c r="AH24" s="46">
        <f t="shared" si="28"/>
        <v>13</v>
      </c>
      <c r="AI24" s="5" t="str">
        <f>IF(L24="","",VLOOKUP($L24,classifications!$C:$J,8,FALSE))</f>
        <v>Unitary</v>
      </c>
      <c r="AJ24" s="42">
        <f t="shared" si="29"/>
        <v>100</v>
      </c>
      <c r="AK24" s="39">
        <f>IF(AJ24="","",IF(I$8="A",(RANK(AJ24,AJ$11:AJ$333,1)+COUNTIF(AJ$11:AJ24,AJ24)-1),(RANK(AJ24,AJ$11:AJ$333)+COUNTIF(AJ$11:AJ24,AJ24)-1)))</f>
        <v>14</v>
      </c>
      <c r="AL24" s="3">
        <f t="shared" si="16"/>
        <v>14</v>
      </c>
      <c r="AM24" t="str">
        <f t="shared" si="6"/>
        <v>Milton Keynes</v>
      </c>
      <c r="AN24">
        <f t="shared" si="7"/>
        <v>100</v>
      </c>
      <c r="AP24" s="5" t="str">
        <f>IF(L24="","",VLOOKUP($L24,classifications!$C:$E,3,FALSE))</f>
        <v>South East</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90</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100</v>
      </c>
      <c r="G25" s="15"/>
      <c r="H25" s="41">
        <f t="shared" si="1"/>
        <v>100</v>
      </c>
      <c r="I25" s="73">
        <f>IF(H25="","",IF($I$8="A",(RANK(H25,H$11:H$333,1)+COUNTIF(H$11:H25,H25)-1),(RANK(H25,H$11:H$333)+COUNTIF(H$11:H25,H25)-1)))</f>
        <v>1</v>
      </c>
      <c r="J25" s="40"/>
      <c r="K25" s="35">
        <f t="shared" si="10"/>
        <v>15</v>
      </c>
      <c r="L25" t="str">
        <f t="shared" si="2"/>
        <v>North East Lincolnshire</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14</v>
      </c>
      <c r="AF25" t="str">
        <f>VLOOKUP(Profile!$J$5,Families!$C:$R,2,FALSE)</f>
        <v>Cheshire West &amp; Chester</v>
      </c>
      <c r="AG25" s="15">
        <f t="shared" si="15"/>
        <v>100</v>
      </c>
      <c r="AH25" s="46">
        <f t="shared" si="28"/>
        <v>14</v>
      </c>
      <c r="AI25" s="5" t="str">
        <f>IF(L25="","",VLOOKUP($L25,classifications!$C:$J,8,FALSE))</f>
        <v>Unitary</v>
      </c>
      <c r="AJ25" s="42">
        <f t="shared" si="29"/>
        <v>100</v>
      </c>
      <c r="AK25" s="39">
        <f>IF(AJ25="","",IF(I$8="A",(RANK(AJ25,AJ$11:AJ$333,1)+COUNTIF(AJ$11:AJ25,AJ25)-1),(RANK(AJ25,AJ$11:AJ$333)+COUNTIF(AJ$11:AJ25,AJ25)-1)))</f>
        <v>15</v>
      </c>
      <c r="AL25" s="3">
        <f t="shared" si="16"/>
        <v>15</v>
      </c>
      <c r="AM25" t="str">
        <f t="shared" si="6"/>
        <v>North East Lincolnshire</v>
      </c>
      <c r="AN25">
        <f t="shared" si="7"/>
        <v>100</v>
      </c>
      <c r="AP25" s="5" t="str">
        <f>IF(L25="","",VLOOKUP($L25,classifications!$C:$E,3,FALSE))</f>
        <v>Yorkshire &amp; Humberside</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100</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100</v>
      </c>
      <c r="G26" s="15"/>
      <c r="H26" s="41">
        <f t="shared" si="1"/>
        <v>100</v>
      </c>
      <c r="I26" s="73">
        <f>IF(H26="","",IF($I$8="A",(RANK(H26,H$11:H$333,1)+COUNTIF(H$11:H26,H26)-1),(RANK(H26,H$11:H$333)+COUNTIF(H$11:H26,H26)-1)))</f>
        <v>2</v>
      </c>
      <c r="J26" s="40"/>
      <c r="K26" s="35">
        <f t="shared" si="10"/>
        <v>16</v>
      </c>
      <c r="L26" t="str">
        <f t="shared" si="2"/>
        <v>Nottingham</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15</v>
      </c>
      <c r="AF26" t="str">
        <f>VLOOKUP(Profile!$J$5,Families!$C:$R,2,FALSE)</f>
        <v>Cheshire West &amp; Chester</v>
      </c>
      <c r="AG26" s="15">
        <f t="shared" si="15"/>
        <v>100</v>
      </c>
      <c r="AH26" s="46">
        <f t="shared" si="28"/>
        <v>15</v>
      </c>
      <c r="AI26" s="5" t="str">
        <f>IF(L26="","",VLOOKUP($L26,classifications!$C:$J,8,FALSE))</f>
        <v>Unitary</v>
      </c>
      <c r="AJ26" s="42">
        <f t="shared" si="29"/>
        <v>100</v>
      </c>
      <c r="AK26" s="39">
        <f>IF(AJ26="","",IF(I$8="A",(RANK(AJ26,AJ$11:AJ$333,1)+COUNTIF(AJ$11:AJ26,AJ26)-1),(RANK(AJ26,AJ$11:AJ$333)+COUNTIF(AJ$11:AJ26,AJ26)-1)))</f>
        <v>16</v>
      </c>
      <c r="AL26" s="3">
        <f t="shared" si="16"/>
        <v>16</v>
      </c>
      <c r="AM26" t="str">
        <f t="shared" si="6"/>
        <v>Nottingham</v>
      </c>
      <c r="AN26">
        <f t="shared" si="7"/>
        <v>100</v>
      </c>
      <c r="AP26" s="5" t="str">
        <f>IF(L26="","",VLOOKUP($L26,classifications!$C:$E,3,FALSE))</f>
        <v>East Midlands</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100</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Plymouth</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16</v>
      </c>
      <c r="AF27" t="str">
        <f>VLOOKUP(Profile!$J$5,Families!$C:$R,2,FALSE)</f>
        <v>Cheshire West &amp; Chester</v>
      </c>
      <c r="AG27" s="15">
        <f t="shared" si="15"/>
        <v>100</v>
      </c>
      <c r="AH27" s="46">
        <f t="shared" si="28"/>
        <v>16</v>
      </c>
      <c r="AI27" s="5" t="str">
        <f>IF(L27="","",VLOOKUP($L27,classifications!$C:$J,8,FALSE))</f>
        <v>Unitary</v>
      </c>
      <c r="AJ27" s="42">
        <f t="shared" si="29"/>
        <v>100</v>
      </c>
      <c r="AK27" s="39">
        <f>IF(AJ27="","",IF(I$8="A",(RANK(AJ27,AJ$11:AJ$333,1)+COUNTIF(AJ$11:AJ27,AJ27)-1),(RANK(AJ27,AJ$11:AJ$333)+COUNTIF(AJ$11:AJ27,AJ27)-1)))</f>
        <v>17</v>
      </c>
      <c r="AL27" s="3">
        <f t="shared" si="16"/>
        <v>17</v>
      </c>
      <c r="AM27" t="str">
        <f t="shared" si="6"/>
        <v>Plymouth</v>
      </c>
      <c r="AN27">
        <f t="shared" si="7"/>
        <v>100</v>
      </c>
      <c r="AP27" s="5" t="str">
        <f>IF(L27="","",VLOOKUP($L27,classifications!$C:$E,3,FALSE))</f>
        <v>South West</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95.833333333333343</v>
      </c>
      <c r="G28" s="15"/>
      <c r="H28" s="41" t="str">
        <f t="shared" si="1"/>
        <v/>
      </c>
      <c r="I28" s="73" t="str">
        <f>IF(H28="","",IF($I$8="A",(RANK(H28,H$11:H$333,1)+COUNTIF(H$11:H28,H28)-1),(RANK(H28,H$11:H$333)+COUNTIF(H$11:H28,H28)-1)))</f>
        <v/>
      </c>
      <c r="J28" s="40"/>
      <c r="K28" s="35">
        <f t="shared" si="10"/>
        <v>18</v>
      </c>
      <c r="L28" t="str">
        <f t="shared" si="2"/>
        <v>Portsmouth</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17</v>
      </c>
      <c r="AF28" t="str">
        <f>VLOOKUP(Profile!$J$5,Families!$C:$R,2,FALSE)</f>
        <v>Cheshire West &amp; Chester</v>
      </c>
      <c r="AG28" s="15">
        <f t="shared" si="15"/>
        <v>100</v>
      </c>
      <c r="AH28" s="46">
        <f t="shared" si="28"/>
        <v>17</v>
      </c>
      <c r="AI28" s="5" t="str">
        <f>IF(L28="","",VLOOKUP($L28,classifications!$C:$J,8,FALSE))</f>
        <v>Unitary</v>
      </c>
      <c r="AJ28" s="42">
        <f t="shared" si="29"/>
        <v>100</v>
      </c>
      <c r="AK28" s="39">
        <f>IF(AJ28="","",IF(I$8="A",(RANK(AJ28,AJ$11:AJ$333,1)+COUNTIF(AJ$11:AJ28,AJ28)-1),(RANK(AJ28,AJ$11:AJ$333)+COUNTIF(AJ$11:AJ28,AJ28)-1)))</f>
        <v>18</v>
      </c>
      <c r="AL28" s="3">
        <f t="shared" si="16"/>
        <v>18</v>
      </c>
      <c r="AM28" t="str">
        <f t="shared" si="6"/>
        <v>Portsmouth</v>
      </c>
      <c r="AN28">
        <f t="shared" si="7"/>
        <v>100</v>
      </c>
      <c r="AP28" s="5" t="str">
        <f>IF(L28="","",VLOOKUP($L28,classifications!$C:$E,3,FALSE))</f>
        <v>South East</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95.833333333333343</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100</v>
      </c>
      <c r="G29" s="15"/>
      <c r="H29" s="41" t="str">
        <f t="shared" si="1"/>
        <v/>
      </c>
      <c r="I29" s="73" t="str">
        <f>IF(H29="","",IF($I$8="A",(RANK(H29,H$11:H$333,1)+COUNTIF(H$11:H29,H29)-1),(RANK(H29,H$11:H$333)+COUNTIF(H$11:H29,H29)-1)))</f>
        <v/>
      </c>
      <c r="J29" s="40"/>
      <c r="K29" s="35">
        <f t="shared" si="10"/>
        <v>19</v>
      </c>
      <c r="L29" t="str">
        <f t="shared" si="2"/>
        <v>Redcar &amp; Cleveland</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Urban with Significant Rural</v>
      </c>
      <c r="Y29">
        <f t="shared" si="26"/>
        <v>100</v>
      </c>
      <c r="Z29" s="39">
        <f>IF(Y29="","",IF(I$8="A",(RANK(Y29,Y$11:Y$333,1)+COUNTIF(Y$11:Y29,Y29)-1),(RANK(Y29,Y$11:Y$333)+COUNTIF(Y$11:Y29,Y29)-1)))</f>
        <v>6</v>
      </c>
      <c r="AA29" s="177" t="str">
        <f>IF(L29="","",VLOOKUP($L29,classifications!C:I,7,FALSE))</f>
        <v>Urban with Significant Rural</v>
      </c>
      <c r="AB29" s="173">
        <f t="shared" si="27"/>
        <v>100</v>
      </c>
      <c r="AC29" s="173">
        <f>IF(AB29="","",IF($I$8="A",(RANK(AB29,AB$11:AB$333)+COUNTIF(AB$11:AB29,AB29)-1),(RANK(AB29,AB$11:AB$333,1)+COUNTIF(AB$11:AB29,AB29)-1)))</f>
        <v>10</v>
      </c>
      <c r="AD29" s="173"/>
      <c r="AE29" s="45">
        <f>IF(I$8="A",(RANK(AG29,AG$11:AG$333,1)+COUNTIF(AG$11:AG29,AG29)-1),(RANK(AG29,AG$11:AG$333)+COUNTIF(AG$11:AG29,AG29)-1))</f>
        <v>18</v>
      </c>
      <c r="AF29" t="str">
        <f>VLOOKUP(Profile!$J$5,Families!$C:$R,2,FALSE)</f>
        <v>Cheshire West &amp; Chester</v>
      </c>
      <c r="AG29" s="15">
        <f t="shared" si="15"/>
        <v>100</v>
      </c>
      <c r="AH29" s="46">
        <f t="shared" si="28"/>
        <v>18</v>
      </c>
      <c r="AI29" s="5" t="str">
        <f>IF(L29="","",VLOOKUP($L29,classifications!$C:$J,8,FALSE))</f>
        <v>Unitary</v>
      </c>
      <c r="AJ29" s="42">
        <f t="shared" si="29"/>
        <v>100</v>
      </c>
      <c r="AK29" s="39">
        <f>IF(AJ29="","",IF(I$8="A",(RANK(AJ29,AJ$11:AJ$333,1)+COUNTIF(AJ$11:AJ29,AJ29)-1),(RANK(AJ29,AJ$11:AJ$333)+COUNTIF(AJ$11:AJ29,AJ29)-1)))</f>
        <v>19</v>
      </c>
      <c r="AL29" s="3">
        <f t="shared" si="16"/>
        <v>19</v>
      </c>
      <c r="AM29" t="str">
        <f t="shared" si="6"/>
        <v>Redcar &amp; Cleveland</v>
      </c>
      <c r="AN29">
        <f t="shared" si="7"/>
        <v>100</v>
      </c>
      <c r="AP29" s="5" t="str">
        <f>IF(L29="","",VLOOKUP($L29,classifications!$C:$E,3,FALSE))</f>
        <v>NE</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100</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3</v>
      </c>
      <c r="J30" s="40"/>
      <c r="K30" s="35">
        <f t="shared" si="10"/>
        <v>20</v>
      </c>
      <c r="L30" t="str">
        <f t="shared" si="2"/>
        <v>Rutland</v>
      </c>
      <c r="M30" s="109">
        <f t="shared" si="3"/>
        <v>100</v>
      </c>
      <c r="N30" s="104">
        <f t="shared" si="19"/>
        <v>100</v>
      </c>
      <c r="O30" s="89">
        <f t="shared" si="20"/>
        <v>100</v>
      </c>
      <c r="P30" s="89" t="str">
        <f t="shared" si="21"/>
        <v/>
      </c>
      <c r="Q30" s="89" t="str">
        <f t="shared" si="22"/>
        <v/>
      </c>
      <c r="R30" s="85" t="str">
        <f t="shared" si="23"/>
        <v/>
      </c>
      <c r="S30" s="41" t="str">
        <f t="shared" si="24"/>
        <v/>
      </c>
      <c r="T30" s="166" t="str">
        <f>IF(L30="","",VLOOKUP(L30,classifications!C:K,9,FALSE))</f>
        <v>Sparse</v>
      </c>
      <c r="U30" s="167">
        <f t="shared" si="25"/>
        <v>100</v>
      </c>
      <c r="V30" s="173">
        <f>IF(U30="","",IF($I$8="A",(RANK(U30,U$11:U$333)+COUNTIF(U$11:U30,U30)-1),(RANK(U30,U$11:U$333,1)+COUNTIF(U$11:U30,U30)-1)))</f>
        <v>15</v>
      </c>
      <c r="W30" s="174"/>
      <c r="X30" s="5" t="str">
        <f>IF(L30="","",VLOOKUP($L30,classifications!$C:$J,6,FALSE))</f>
        <v xml:space="preserve">Predominantly Rural </v>
      </c>
      <c r="Y30">
        <f t="shared" si="26"/>
        <v>100</v>
      </c>
      <c r="Z30" s="39">
        <f>IF(Y30="","",IF(I$8="A",(RANK(Y30,Y$11:Y$333,1)+COUNTIF(Y$11:Y30,Y30)-1),(RANK(Y30,Y$11:Y$333)+COUNTIF(Y$11:Y30,Y30)-1)))</f>
        <v>7</v>
      </c>
      <c r="AA30" s="177" t="str">
        <f>IF(L30="","",VLOOKUP($L30,classifications!C:I,7,FALSE))</f>
        <v>Predominantly Rural</v>
      </c>
      <c r="AB30" s="173" t="str">
        <f t="shared" si="27"/>
        <v/>
      </c>
      <c r="AC30" s="173" t="str">
        <f>IF(AB30="","",IF($I$8="A",(RANK(AB30,AB$11:AB$333)+COUNTIF(AB$11:AB30,AB30)-1),(RANK(AB30,AB$11:AB$333,1)+COUNTIF(AB$11:AB30,AB30)-1)))</f>
        <v/>
      </c>
      <c r="AD30" s="173"/>
      <c r="AE30" s="45">
        <f>IF(I$8="A",(RANK(AG30,AG$11:AG$333,1)+COUNTIF(AG$11:AG30,AG30)-1),(RANK(AG30,AG$11:AG$333)+COUNTIF(AG$11:AG30,AG30)-1))</f>
        <v>19</v>
      </c>
      <c r="AF30" t="str">
        <f>VLOOKUP(Profile!$J$5,Families!$C:$R,2,FALSE)</f>
        <v>Cheshire West &amp; Chester</v>
      </c>
      <c r="AG30" s="15">
        <f t="shared" si="15"/>
        <v>100</v>
      </c>
      <c r="AH30" s="46">
        <f t="shared" si="28"/>
        <v>19</v>
      </c>
      <c r="AI30" s="5" t="str">
        <f>IF(L30="","",VLOOKUP($L30,classifications!$C:$J,8,FALSE))</f>
        <v>Unitary</v>
      </c>
      <c r="AJ30" s="42">
        <f t="shared" si="29"/>
        <v>100</v>
      </c>
      <c r="AK30" s="39">
        <f>IF(AJ30="","",IF(I$8="A",(RANK(AJ30,AJ$11:AJ$333,1)+COUNTIF(AJ$11:AJ30,AJ30)-1),(RANK(AJ30,AJ$11:AJ$333)+COUNTIF(AJ$11:AJ30,AJ30)-1)))</f>
        <v>20</v>
      </c>
      <c r="AL30" s="3">
        <f t="shared" si="16"/>
        <v>20</v>
      </c>
      <c r="AM30" t="str">
        <f t="shared" si="6"/>
        <v>Rutland</v>
      </c>
      <c r="AN30">
        <f t="shared" si="7"/>
        <v>100</v>
      </c>
      <c r="AP30" s="5" t="str">
        <f>IF(L30="","",VLOOKUP($L30,classifications!$C:$E,3,FALSE))</f>
        <v>East Midlands</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80</v>
      </c>
      <c r="G31" s="15"/>
      <c r="H31" s="41">
        <f t="shared" si="1"/>
        <v>80</v>
      </c>
      <c r="I31" s="73">
        <f>IF(H31="","",IF($I$8="A",(RANK(H31,H$11:H$333,1)+COUNTIF(H$11:H31,H31)-1),(RANK(H31,H$11:H$333)+COUNTIF(H$11:H31,H31)-1)))</f>
        <v>54</v>
      </c>
      <c r="J31" s="40"/>
      <c r="K31" s="35">
        <f t="shared" si="10"/>
        <v>21</v>
      </c>
      <c r="L31" t="str">
        <f t="shared" si="2"/>
        <v>Slough</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20</v>
      </c>
      <c r="AF31" t="str">
        <f>VLOOKUP(Profile!$J$5,Families!$C:$R,2,FALSE)</f>
        <v>Cheshire West &amp; Chester</v>
      </c>
      <c r="AG31" s="15">
        <f t="shared" si="15"/>
        <v>100</v>
      </c>
      <c r="AH31" s="46">
        <f t="shared" si="28"/>
        <v>20</v>
      </c>
      <c r="AI31" s="5" t="str">
        <f>IF(L31="","",VLOOKUP($L31,classifications!$C:$J,8,FALSE))</f>
        <v>Unitary</v>
      </c>
      <c r="AJ31" s="42">
        <f t="shared" si="29"/>
        <v>100</v>
      </c>
      <c r="AK31" s="39">
        <f>IF(AJ31="","",IF(I$8="A",(RANK(AJ31,AJ$11:AJ$333,1)+COUNTIF(AJ$11:AJ31,AJ31)-1),(RANK(AJ31,AJ$11:AJ$333)+COUNTIF(AJ$11:AJ31,AJ31)-1)))</f>
        <v>21</v>
      </c>
      <c r="AL31" s="3">
        <f t="shared" si="16"/>
        <v>21</v>
      </c>
      <c r="AM31" t="str">
        <f t="shared" si="6"/>
        <v>Slough</v>
      </c>
      <c r="AN31">
        <f t="shared" si="7"/>
        <v>100</v>
      </c>
      <c r="AP31" s="5" t="str">
        <f>IF(L31="","",VLOOKUP($L31,classifications!$C:$E,3,FALSE))</f>
        <v>South East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80</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100</v>
      </c>
      <c r="G32" s="15"/>
      <c r="H32" s="41" t="str">
        <f t="shared" si="1"/>
        <v/>
      </c>
      <c r="I32" s="73" t="str">
        <f>IF(H32="","",IF($I$8="A",(RANK(H32,H$11:H$333,1)+COUNTIF(H$11:H32,H32)-1),(RANK(H32,H$11:H$333)+COUNTIF(H$11:H32,H32)-1)))</f>
        <v/>
      </c>
      <c r="J32" s="40"/>
      <c r="K32" s="35">
        <f t="shared" si="10"/>
        <v>22</v>
      </c>
      <c r="L32" t="str">
        <f t="shared" si="2"/>
        <v>Southampton</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f>IF(I$8="A",(RANK(AG32,AG$11:AG$333,1)+COUNTIF(AG$11:AG32,AG32)-1),(RANK(AG32,AG$11:AG$333)+COUNTIF(AG$11:AG32,AG32)-1))</f>
        <v>21</v>
      </c>
      <c r="AF32" t="str">
        <f>VLOOKUP(Profile!$J$5,Families!$C:$R,2,FALSE)</f>
        <v>Cheshire West &amp; Chester</v>
      </c>
      <c r="AG32" s="15">
        <f t="shared" si="15"/>
        <v>100</v>
      </c>
      <c r="AH32" s="46">
        <f t="shared" si="28"/>
        <v>21</v>
      </c>
      <c r="AI32" s="5" t="str">
        <f>IF(L32="","",VLOOKUP($L32,classifications!$C:$J,8,FALSE))</f>
        <v>Unitary</v>
      </c>
      <c r="AJ32" s="42">
        <f t="shared" si="29"/>
        <v>100</v>
      </c>
      <c r="AK32" s="39">
        <f>IF(AJ32="","",IF(I$8="A",(RANK(AJ32,AJ$11:AJ$333,1)+COUNTIF(AJ$11:AJ32,AJ32)-1),(RANK(AJ32,AJ$11:AJ$333)+COUNTIF(AJ$11:AJ32,AJ32)-1)))</f>
        <v>22</v>
      </c>
      <c r="AL32" s="3">
        <f t="shared" si="16"/>
        <v>22</v>
      </c>
      <c r="AM32" t="str">
        <f t="shared" si="6"/>
        <v>Southampton</v>
      </c>
      <c r="AN32">
        <f t="shared" si="7"/>
        <v>100</v>
      </c>
      <c r="AP32" s="5" t="str">
        <f>IF(L32="","",VLOOKUP($L32,classifications!$C:$E,3,FALSE))</f>
        <v>South East</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100</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83.333333333333343</v>
      </c>
      <c r="G33" s="15"/>
      <c r="H33" s="41" t="str">
        <f t="shared" si="1"/>
        <v/>
      </c>
      <c r="I33" s="73" t="str">
        <f>IF(H33="","",IF($I$8="A",(RANK(H33,H$11:H$333,1)+COUNTIF(H$11:H33,H33)-1),(RANK(H33,H$11:H$333)+COUNTIF(H$11:H33,H33)-1)))</f>
        <v/>
      </c>
      <c r="J33" s="40"/>
      <c r="K33" s="35">
        <f t="shared" si="10"/>
        <v>23</v>
      </c>
      <c r="L33" t="str">
        <f t="shared" si="2"/>
        <v>Southend-on-Sea</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22</v>
      </c>
      <c r="AF33" t="str">
        <f>VLOOKUP(Profile!$J$5,Families!$C:$R,2,FALSE)</f>
        <v>Cheshire West &amp; Chester</v>
      </c>
      <c r="AG33" s="15">
        <f t="shared" si="15"/>
        <v>100</v>
      </c>
      <c r="AH33" s="46">
        <f t="shared" si="28"/>
        <v>22</v>
      </c>
      <c r="AI33" s="5" t="str">
        <f>IF(L33="","",VLOOKUP($L33,classifications!$C:$J,8,FALSE))</f>
        <v>Unitary</v>
      </c>
      <c r="AJ33" s="42">
        <f t="shared" si="29"/>
        <v>100</v>
      </c>
      <c r="AK33" s="39">
        <f>IF(AJ33="","",IF(I$8="A",(RANK(AJ33,AJ$11:AJ$333,1)+COUNTIF(AJ$11:AJ33,AJ33)-1),(RANK(AJ33,AJ$11:AJ$333)+COUNTIF(AJ$11:AJ33,AJ33)-1)))</f>
        <v>23</v>
      </c>
      <c r="AL33" s="3">
        <f t="shared" si="16"/>
        <v>23</v>
      </c>
      <c r="AM33" t="str">
        <f t="shared" si="6"/>
        <v>Southend-on-Sea</v>
      </c>
      <c r="AN33">
        <f t="shared" si="7"/>
        <v>100</v>
      </c>
      <c r="AP33" s="5" t="str">
        <f>IF(L33="","",VLOOKUP($L33,classifications!$C:$E,3,FALSE))</f>
        <v>East of England</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83.333333333333343</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87.5</v>
      </c>
      <c r="G34" s="15"/>
      <c r="H34" s="41" t="str">
        <f t="shared" si="1"/>
        <v/>
      </c>
      <c r="I34" s="73" t="str">
        <f>IF(H34="","",IF($I$8="A",(RANK(H34,H$11:H$333,1)+COUNTIF(H$11:H34,H34)-1),(RANK(H34,H$11:H$333)+COUNTIF(H$11:H34,H34)-1)))</f>
        <v/>
      </c>
      <c r="J34" s="40"/>
      <c r="K34" s="35">
        <f t="shared" si="10"/>
        <v>24</v>
      </c>
      <c r="L34" t="str">
        <f t="shared" si="2"/>
        <v>Stoke-on-Trent</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23</v>
      </c>
      <c r="AF34" t="str">
        <f>VLOOKUP(Profile!$J$5,Families!$C:$R,2,FALSE)</f>
        <v>Cheshire West &amp; Chester</v>
      </c>
      <c r="AG34" s="15">
        <f t="shared" si="15"/>
        <v>100</v>
      </c>
      <c r="AH34" s="46">
        <f t="shared" si="28"/>
        <v>23</v>
      </c>
      <c r="AI34" s="5" t="str">
        <f>IF(L34="","",VLOOKUP($L34,classifications!$C:$J,8,FALSE))</f>
        <v>Unitary</v>
      </c>
      <c r="AJ34" s="42">
        <f t="shared" si="29"/>
        <v>100</v>
      </c>
      <c r="AK34" s="39">
        <f>IF(AJ34="","",IF(I$8="A",(RANK(AJ34,AJ$11:AJ$333,1)+COUNTIF(AJ$11:AJ34,AJ34)-1),(RANK(AJ34,AJ$11:AJ$333)+COUNTIF(AJ$11:AJ34,AJ34)-1)))</f>
        <v>24</v>
      </c>
      <c r="AL34" s="3">
        <f t="shared" si="16"/>
        <v>24</v>
      </c>
      <c r="AM34" t="str">
        <f t="shared" si="6"/>
        <v>Stoke-on-Trent</v>
      </c>
      <c r="AN34">
        <f t="shared" si="7"/>
        <v>100</v>
      </c>
      <c r="AP34" s="5" t="str">
        <f>IF(L34="","",VLOOKUP($L34,classifications!$C:$E,3,FALSE))</f>
        <v>West Midlands</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87.5</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86.206896551724128</v>
      </c>
      <c r="G35" s="15"/>
      <c r="H35" s="41">
        <f t="shared" si="1"/>
        <v>86.206896551724128</v>
      </c>
      <c r="I35" s="73">
        <f>IF(H35="","",IF($I$8="A",(RANK(H35,H$11:H$333,1)+COUNTIF(H$11:H35,H35)-1),(RANK(H35,H$11:H$333)+COUNTIF(H$11:H35,H35)-1)))</f>
        <v>46</v>
      </c>
      <c r="J35" s="40"/>
      <c r="K35" s="35">
        <f t="shared" si="10"/>
        <v>25</v>
      </c>
      <c r="L35" t="str">
        <f t="shared" si="2"/>
        <v>Telford &amp; Wrekin</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f>IF(I$8="A",(RANK(AG35,AG$11:AG$333,1)+COUNTIF(AG$11:AG35,AG35)-1),(RANK(AG35,AG$11:AG$333)+COUNTIF(AG$11:AG35,AG35)-1))</f>
        <v>24</v>
      </c>
      <c r="AF35" t="str">
        <f>VLOOKUP(Profile!$J$5,Families!$C:$R,2,FALSE)</f>
        <v>Cheshire West &amp; Chester</v>
      </c>
      <c r="AG35" s="15">
        <f t="shared" si="15"/>
        <v>100</v>
      </c>
      <c r="AH35" s="46">
        <f t="shared" si="28"/>
        <v>24</v>
      </c>
      <c r="AI35" s="5" t="str">
        <f>IF(L35="","",VLOOKUP($L35,classifications!$C:$J,8,FALSE))</f>
        <v>Unitary</v>
      </c>
      <c r="AJ35" s="42">
        <f t="shared" si="29"/>
        <v>100</v>
      </c>
      <c r="AK35" s="39">
        <f>IF(AJ35="","",IF(I$8="A",(RANK(AJ35,AJ$11:AJ$333,1)+COUNTIF(AJ$11:AJ35,AJ35)-1),(RANK(AJ35,AJ$11:AJ$333)+COUNTIF(AJ$11:AJ35,AJ35)-1)))</f>
        <v>25</v>
      </c>
      <c r="AL35" s="3">
        <f t="shared" si="16"/>
        <v>25</v>
      </c>
      <c r="AM35" t="str">
        <f t="shared" si="6"/>
        <v>Telford &amp; Wrekin</v>
      </c>
      <c r="AN35">
        <f t="shared" si="7"/>
        <v>100</v>
      </c>
      <c r="AP35" s="5" t="str">
        <f>IF(L35="","",VLOOKUP($L35,classifications!$C:$E,3,FALSE))</f>
        <v>West Midlands</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86.206896551724128</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100</v>
      </c>
      <c r="G36" s="15"/>
      <c r="H36" s="41">
        <f t="shared" si="1"/>
        <v>100</v>
      </c>
      <c r="I36" s="73">
        <f>IF(H36="","",IF($I$8="A",(RANK(H36,H$11:H$333,1)+COUNTIF(H$11:H36,H36)-1),(RANK(H36,H$11:H$333)+COUNTIF(H$11:H36,H36)-1)))</f>
        <v>4</v>
      </c>
      <c r="J36" s="40"/>
      <c r="K36" s="35">
        <f t="shared" si="10"/>
        <v>26</v>
      </c>
      <c r="L36" t="str">
        <f t="shared" si="2"/>
        <v>Warrington</v>
      </c>
      <c r="M36" s="109">
        <f t="shared" si="3"/>
        <v>100</v>
      </c>
      <c r="N36" s="104">
        <f t="shared" si="19"/>
        <v>100</v>
      </c>
      <c r="O36" s="89">
        <f t="shared" si="20"/>
        <v>100</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f>IF(I$8="A",(RANK(AG36,AG$11:AG$333,1)+COUNTIF(AG$11:AG36,AG36)-1),(RANK(AG36,AG$11:AG$333)+COUNTIF(AG$11:AG36,AG36)-1))</f>
        <v>25</v>
      </c>
      <c r="AF36" t="str">
        <f>VLOOKUP(Profile!$J$5,Families!$C:$R,2,FALSE)</f>
        <v>Cheshire West &amp; Chester</v>
      </c>
      <c r="AG36" s="15">
        <f t="shared" si="15"/>
        <v>100</v>
      </c>
      <c r="AH36" s="46">
        <f t="shared" si="28"/>
        <v>25</v>
      </c>
      <c r="AI36" s="5" t="str">
        <f>IF(L36="","",VLOOKUP($L36,classifications!$C:$J,8,FALSE))</f>
        <v>Unitary</v>
      </c>
      <c r="AJ36" s="42">
        <f t="shared" si="29"/>
        <v>100</v>
      </c>
      <c r="AK36" s="39">
        <f>IF(AJ36="","",IF(I$8="A",(RANK(AJ36,AJ$11:AJ$333,1)+COUNTIF(AJ$11:AJ36,AJ36)-1),(RANK(AJ36,AJ$11:AJ$333)+COUNTIF(AJ$11:AJ36,AJ36)-1)))</f>
        <v>26</v>
      </c>
      <c r="AL36" s="3">
        <f t="shared" si="16"/>
        <v>26</v>
      </c>
      <c r="AM36" t="str">
        <f t="shared" si="6"/>
        <v>Warrington</v>
      </c>
      <c r="AN36">
        <f t="shared" si="7"/>
        <v>100</v>
      </c>
      <c r="AP36" s="5" t="str">
        <f>IF(L36="","",VLOOKUP($L36,classifications!$C:$E,3,FALSE))</f>
        <v>North West</v>
      </c>
      <c r="AQ36" s="42">
        <f t="shared" si="30"/>
        <v>100</v>
      </c>
      <c r="AR36" s="39">
        <f>IF(AQ36="","",IF(I$8="A",(RANK(AQ36,AQ$11:AQ$333,1)+COUNTIF(AQ$11:AQ36,AQ36)-1),(RANK(AQ36,AQ$11:AQ$333)+COUNTIF(AQ$11:AQ36,AQ36)-1)))</f>
        <v>3</v>
      </c>
      <c r="AS36" s="3" t="str">
        <f t="shared" si="18"/>
        <v/>
      </c>
      <c r="AT36" s="39" t="str">
        <f t="shared" si="8"/>
        <v/>
      </c>
      <c r="AU36" s="42" t="str">
        <f t="shared" si="9"/>
        <v/>
      </c>
      <c r="AX36">
        <f>HLOOKUP($AX$9&amp;$AX$10,Data!$A$1:$ZT$1975,(MATCH($C36,Data!$A$1:$A$1975,0)),FALSE)</f>
        <v>100</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71.428571428571431</v>
      </c>
      <c r="G37" s="15"/>
      <c r="H37" s="41" t="str">
        <f t="shared" si="1"/>
        <v/>
      </c>
      <c r="I37" s="73" t="str">
        <f>IF(H37="","",IF($I$8="A",(RANK(H37,H$11:H$333,1)+COUNTIF(H$11:H37,H37)-1),(RANK(H37,H$11:H$333)+COUNTIF(H$11:H37,H37)-1)))</f>
        <v/>
      </c>
      <c r="J37" s="40"/>
      <c r="K37" s="35">
        <f t="shared" si="10"/>
        <v>27</v>
      </c>
      <c r="L37" t="str">
        <f t="shared" si="2"/>
        <v>West Berkshire</v>
      </c>
      <c r="M37" s="109">
        <f t="shared" si="3"/>
        <v>100</v>
      </c>
      <c r="N37" s="104">
        <f t="shared" si="19"/>
        <v>100</v>
      </c>
      <c r="O37" s="89">
        <f t="shared" si="20"/>
        <v>100</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Urban with Significant Rural</v>
      </c>
      <c r="Y37">
        <f t="shared" si="26"/>
        <v>100</v>
      </c>
      <c r="Z37" s="39">
        <f>IF(Y37="","",IF(I$8="A",(RANK(Y37,Y$11:Y$333,1)+COUNTIF(Y$11:Y37,Y37)-1),(RANK(Y37,Y$11:Y$333)+COUNTIF(Y$11:Y37,Y37)-1)))</f>
        <v>8</v>
      </c>
      <c r="AA37" s="177" t="str">
        <f>IF(L37="","",VLOOKUP($L37,classifications!C:I,7,FALSE))</f>
        <v>Urban with Significant Rural</v>
      </c>
      <c r="AB37" s="173">
        <f t="shared" si="27"/>
        <v>100</v>
      </c>
      <c r="AC37" s="173">
        <f>IF(AB37="","",IF($I$8="A",(RANK(AB37,AB$11:AB$333)+COUNTIF(AB$11:AB37,AB37)-1),(RANK(AB37,AB$11:AB$333,1)+COUNTIF(AB$11:AB37,AB37)-1)))</f>
        <v>11</v>
      </c>
      <c r="AD37" s="173"/>
      <c r="AE37" s="45">
        <f>IF(I$8="A",(RANK(AG37,AG$11:AG$333,1)+COUNTIF(AG$11:AG37,AG37)-1),(RANK(AG37,AG$11:AG$333)+COUNTIF(AG$11:AG37,AG37)-1))</f>
        <v>26</v>
      </c>
      <c r="AF37" t="str">
        <f>VLOOKUP(Profile!$J$5,Families!$C:$R,2,FALSE)</f>
        <v>Cheshire West &amp; Chester</v>
      </c>
      <c r="AG37" s="15">
        <f t="shared" si="15"/>
        <v>100</v>
      </c>
      <c r="AH37" s="46">
        <f t="shared" si="28"/>
        <v>26</v>
      </c>
      <c r="AI37" s="5" t="str">
        <f>IF(L37="","",VLOOKUP($L37,classifications!$C:$J,8,FALSE))</f>
        <v>Unitary</v>
      </c>
      <c r="AJ37" s="42">
        <f t="shared" si="29"/>
        <v>100</v>
      </c>
      <c r="AK37" s="39">
        <f>IF(AJ37="","",IF(I$8="A",(RANK(AJ37,AJ$11:AJ$333,1)+COUNTIF(AJ$11:AJ37,AJ37)-1),(RANK(AJ37,AJ$11:AJ$333)+COUNTIF(AJ$11:AJ37,AJ37)-1)))</f>
        <v>27</v>
      </c>
      <c r="AL37" s="3">
        <f t="shared" si="16"/>
        <v>27</v>
      </c>
      <c r="AM37" t="str">
        <f t="shared" si="6"/>
        <v>West Berkshire</v>
      </c>
      <c r="AN37">
        <f t="shared" si="7"/>
        <v>100</v>
      </c>
      <c r="AP37" s="5" t="str">
        <f>IF(L37="","",VLOOKUP($L37,classifications!$C:$E,3,FALSE))</f>
        <v>South East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71.428571428571431</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100</v>
      </c>
      <c r="G38" s="15"/>
      <c r="H38" s="41" t="str">
        <f t="shared" si="1"/>
        <v/>
      </c>
      <c r="I38" s="73" t="str">
        <f>IF(H38="","",IF($I$8="A",(RANK(H38,H$11:H$333,1)+COUNTIF(H$11:H38,H38)-1),(RANK(H38,H$11:H$333)+COUNTIF(H$11:H38,H38)-1)))</f>
        <v/>
      </c>
      <c r="J38" s="40"/>
      <c r="K38" s="35">
        <f t="shared" si="10"/>
        <v>28</v>
      </c>
      <c r="L38" t="str">
        <f t="shared" si="2"/>
        <v>Wiltshire</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 xml:space="preserve">Predominantly Rural </v>
      </c>
      <c r="Y38">
        <f t="shared" si="26"/>
        <v>100</v>
      </c>
      <c r="Z38" s="39">
        <f>IF(Y38="","",IF(I$8="A",(RANK(Y38,Y$11:Y$333,1)+COUNTIF(Y$11:Y38,Y38)-1),(RANK(Y38,Y$11:Y$333)+COUNTIF(Y$11:Y38,Y38)-1)))</f>
        <v>9</v>
      </c>
      <c r="AA38" s="177" t="str">
        <f>IF(L38="","",VLOOKUP($L38,classifications!C:I,7,FALSE))</f>
        <v>Predominantly Rural</v>
      </c>
      <c r="AB38" s="173" t="str">
        <f t="shared" si="27"/>
        <v/>
      </c>
      <c r="AC38" s="173" t="str">
        <f>IF(AB38="","",IF($I$8="A",(RANK(AB38,AB$11:AB$333)+COUNTIF(AB$11:AB38,AB38)-1),(RANK(AB38,AB$11:AB$333,1)+COUNTIF(AB$11:AB38,AB38)-1)))</f>
        <v/>
      </c>
      <c r="AD38" s="173"/>
      <c r="AE38" s="45">
        <f>IF(I$8="A",(RANK(AG38,AG$11:AG$333,1)+COUNTIF(AG$11:AG38,AG38)-1),(RANK(AG38,AG$11:AG$333)+COUNTIF(AG$11:AG38,AG38)-1))</f>
        <v>27</v>
      </c>
      <c r="AF38" t="str">
        <f>VLOOKUP(Profile!$J$5,Families!$C:$R,2,FALSE)</f>
        <v>Cheshire West &amp; Chester</v>
      </c>
      <c r="AG38" s="15">
        <f t="shared" si="15"/>
        <v>100</v>
      </c>
      <c r="AH38" s="46">
        <f t="shared" si="28"/>
        <v>27</v>
      </c>
      <c r="AI38" s="5" t="str">
        <f>IF(L38="","",VLOOKUP($L38,classifications!$C:$J,8,FALSE))</f>
        <v>Unitary</v>
      </c>
      <c r="AJ38" s="42">
        <f t="shared" si="29"/>
        <v>100</v>
      </c>
      <c r="AK38" s="39">
        <f>IF(AJ38="","",IF(I$8="A",(RANK(AJ38,AJ$11:AJ$333,1)+COUNTIF(AJ$11:AJ38,AJ38)-1),(RANK(AJ38,AJ$11:AJ$333)+COUNTIF(AJ$11:AJ38,AJ38)-1)))</f>
        <v>28</v>
      </c>
      <c r="AL38" s="3">
        <f t="shared" si="16"/>
        <v>28</v>
      </c>
      <c r="AM38" t="str">
        <f t="shared" si="6"/>
        <v>Wiltshire</v>
      </c>
      <c r="AN38">
        <f t="shared" si="7"/>
        <v>100</v>
      </c>
      <c r="AP38" s="5" t="str">
        <f>IF(L38="","",VLOOKUP($L38,classifications!$C:$E,3,FALSE))</f>
        <v>South West</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100</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100</v>
      </c>
      <c r="G39" s="15"/>
      <c r="H39" s="41" t="str">
        <f t="shared" si="1"/>
        <v/>
      </c>
      <c r="I39" s="73" t="str">
        <f>IF(H39="","",IF($I$8="A",(RANK(H39,H$11:H$333,1)+COUNTIF(H$11:H39,H39)-1),(RANK(H39,H$11:H$333)+COUNTIF(H$11:H39,H39)-1)))</f>
        <v/>
      </c>
      <c r="J39" s="40"/>
      <c r="K39" s="35">
        <f t="shared" si="10"/>
        <v>29</v>
      </c>
      <c r="L39" t="str">
        <f t="shared" si="2"/>
        <v>Wokingham</v>
      </c>
      <c r="M39" s="109">
        <f t="shared" si="3"/>
        <v>100</v>
      </c>
      <c r="N39" s="104">
        <f t="shared" si="19"/>
        <v>100</v>
      </c>
      <c r="O39" s="89">
        <f t="shared" si="20"/>
        <v>100</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28</v>
      </c>
      <c r="AF39" t="str">
        <f>VLOOKUP(Profile!$J$5,Families!$C:$R,2,FALSE)</f>
        <v>Cheshire West &amp; Chester</v>
      </c>
      <c r="AG39" s="15">
        <f t="shared" si="15"/>
        <v>100</v>
      </c>
      <c r="AH39" s="46">
        <f t="shared" si="28"/>
        <v>28</v>
      </c>
      <c r="AI39" s="5" t="str">
        <f>IF(L39="","",VLOOKUP($L39,classifications!$C:$J,8,FALSE))</f>
        <v>Unitary</v>
      </c>
      <c r="AJ39" s="42">
        <f t="shared" si="29"/>
        <v>100</v>
      </c>
      <c r="AK39" s="39">
        <f>IF(AJ39="","",IF(I$8="A",(RANK(AJ39,AJ$11:AJ$333,1)+COUNTIF(AJ$11:AJ39,AJ39)-1),(RANK(AJ39,AJ$11:AJ$333)+COUNTIF(AJ$11:AJ39,AJ39)-1)))</f>
        <v>29</v>
      </c>
      <c r="AL39" s="3">
        <f t="shared" si="16"/>
        <v>29</v>
      </c>
      <c r="AM39" t="str">
        <f t="shared" si="6"/>
        <v>Wokingham</v>
      </c>
      <c r="AN39">
        <f t="shared" si="7"/>
        <v>100</v>
      </c>
      <c r="AP39" s="5" t="str">
        <f>IF(L39="","",VLOOKUP($L39,classifications!$C:$E,3,FALSE))</f>
        <v>South East</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100</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York</v>
      </c>
      <c r="M40" s="109">
        <f t="shared" si="3"/>
        <v>100</v>
      </c>
      <c r="N40" s="104">
        <f t="shared" si="19"/>
        <v>100</v>
      </c>
      <c r="O40" s="89">
        <f t="shared" si="20"/>
        <v>100</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29</v>
      </c>
      <c r="AF40" t="str">
        <f>VLOOKUP(Profile!$J$5,Families!$C:$R,2,FALSE)</f>
        <v>Cheshire West &amp; Chester</v>
      </c>
      <c r="AG40" s="15">
        <f t="shared" si="15"/>
        <v>100</v>
      </c>
      <c r="AH40" s="46">
        <f t="shared" si="28"/>
        <v>29</v>
      </c>
      <c r="AI40" s="5" t="str">
        <f>IF(L40="","",VLOOKUP($L40,classifications!$C:$J,8,FALSE))</f>
        <v>Unitary</v>
      </c>
      <c r="AJ40" s="42">
        <f t="shared" si="29"/>
        <v>100</v>
      </c>
      <c r="AK40" s="39">
        <f>IF(AJ40="","",IF(I$8="A",(RANK(AJ40,AJ$11:AJ$333,1)+COUNTIF(AJ$11:AJ40,AJ40)-1),(RANK(AJ40,AJ$11:AJ$333)+COUNTIF(AJ$11:AJ40,AJ40)-1)))</f>
        <v>30</v>
      </c>
      <c r="AL40" s="3">
        <f t="shared" si="16"/>
        <v>30</v>
      </c>
      <c r="AM40" t="str">
        <f t="shared" si="6"/>
        <v>York</v>
      </c>
      <c r="AN40">
        <f t="shared" si="7"/>
        <v>100</v>
      </c>
      <c r="AP40" s="5" t="str">
        <f>IF(L40="","",VLOOKUP($L40,classifications!$C:$E,3,FALSE))</f>
        <v>Yorkshire &amp; Humberside</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100</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100</v>
      </c>
      <c r="G41" s="15"/>
      <c r="H41" s="41" t="str">
        <f t="shared" si="1"/>
        <v/>
      </c>
      <c r="I41" s="73" t="str">
        <f>IF(H41="","",IF($I$8="A",(RANK(H41,H$11:H$333,1)+COUNTIF(H$11:H41,H41)-1),(RANK(H41,H$11:H$333)+COUNTIF(H$11:H41,H41)-1)))</f>
        <v/>
      </c>
      <c r="J41" s="40"/>
      <c r="K41" s="35">
        <f t="shared" si="10"/>
        <v>31</v>
      </c>
      <c r="L41" t="str">
        <f t="shared" si="2"/>
        <v>East Riding of Yorkshire</v>
      </c>
      <c r="M41" s="109">
        <f t="shared" si="3"/>
        <v>96.969696969696969</v>
      </c>
      <c r="N41" s="104">
        <f t="shared" si="19"/>
        <v>96.969696969696969</v>
      </c>
      <c r="O41" s="89" t="str">
        <f t="shared" si="20"/>
        <v/>
      </c>
      <c r="P41" s="89">
        <f t="shared" si="21"/>
        <v>96.969696969696969</v>
      </c>
      <c r="Q41" s="89" t="str">
        <f t="shared" si="22"/>
        <v/>
      </c>
      <c r="R41" s="85" t="str">
        <f t="shared" si="23"/>
        <v/>
      </c>
      <c r="S41" s="41" t="str">
        <f t="shared" si="24"/>
        <v/>
      </c>
      <c r="T41" s="166" t="str">
        <f>IF(L41="","",VLOOKUP(L41,classifications!C:K,9,FALSE))</f>
        <v>Sparse</v>
      </c>
      <c r="U41" s="167">
        <f t="shared" si="25"/>
        <v>96.969696969696969</v>
      </c>
      <c r="V41" s="173">
        <f>IF(U41="","",IF($I$8="A",(RANK(U41,U$11:U$333)+COUNTIF(U$11:U41,U41)-1),(RANK(U41,U$11:U$333,1)+COUNTIF(U$11:U41,U41)-1)))</f>
        <v>12</v>
      </c>
      <c r="W41" s="174"/>
      <c r="X41" s="5" t="str">
        <f>IF(L41="","",VLOOKUP($L41,classifications!$C:$J,6,FALSE))</f>
        <v xml:space="preserve">Predominantly Rural </v>
      </c>
      <c r="Y41">
        <f t="shared" si="26"/>
        <v>96.969696969696969</v>
      </c>
      <c r="Z41" s="39">
        <f>IF(Y41="","",IF(I$8="A",(RANK(Y41,Y$11:Y$333,1)+COUNTIF(Y$11:Y41,Y41)-1),(RANK(Y41,Y$11:Y$333)+COUNTIF(Y$11:Y41,Y41)-1)))</f>
        <v>10</v>
      </c>
      <c r="AA41" s="177" t="str">
        <f>IF(L41="","",VLOOKUP($L41,classifications!C:I,7,FALSE))</f>
        <v>Predominantly Rural</v>
      </c>
      <c r="AB41" s="173" t="str">
        <f t="shared" si="27"/>
        <v/>
      </c>
      <c r="AC41" s="173" t="str">
        <f>IF(AB41="","",IF($I$8="A",(RANK(AB41,AB$11:AB$333)+COUNTIF(AB$11:AB41,AB41)-1),(RANK(AB41,AB$11:AB$333,1)+COUNTIF(AB$11:AB41,AB41)-1)))</f>
        <v/>
      </c>
      <c r="AD41" s="173"/>
      <c r="AE41" s="45">
        <f>IF(I$8="A",(RANK(AG41,AG$11:AG$333,1)+COUNTIF(AG$11:AG41,AG41)-1),(RANK(AG41,AG$11:AG$333)+COUNTIF(AG$11:AG41,AG41)-1))</f>
        <v>30</v>
      </c>
      <c r="AF41" t="str">
        <f>VLOOKUP(Profile!$J$5,Families!$C:$R,2,FALSE)</f>
        <v>Cheshire West &amp; Chester</v>
      </c>
      <c r="AG41" s="15">
        <f t="shared" si="15"/>
        <v>100</v>
      </c>
      <c r="AH41" s="46">
        <f t="shared" si="28"/>
        <v>30</v>
      </c>
      <c r="AI41" s="5" t="str">
        <f>IF(L41="","",VLOOKUP($L41,classifications!$C:$J,8,FALSE))</f>
        <v>Unitary</v>
      </c>
      <c r="AJ41" s="42">
        <f t="shared" si="29"/>
        <v>96.969696969696969</v>
      </c>
      <c r="AK41" s="39">
        <f>IF(AJ41="","",IF(I$8="A",(RANK(AJ41,AJ$11:AJ$333,1)+COUNTIF(AJ$11:AJ41,AJ41)-1),(RANK(AJ41,AJ$11:AJ$333)+COUNTIF(AJ$11:AJ41,AJ41)-1)))</f>
        <v>31</v>
      </c>
      <c r="AL41" s="3">
        <f t="shared" si="16"/>
        <v>31</v>
      </c>
      <c r="AM41" t="str">
        <f t="shared" si="6"/>
        <v>East Riding of Yorkshire</v>
      </c>
      <c r="AN41">
        <f t="shared" si="7"/>
        <v>96.969696969696969</v>
      </c>
      <c r="AP41" s="5" t="str">
        <f>IF(L41="","",VLOOKUP($L41,classifications!$C:$E,3,FALSE))</f>
        <v>Yorkshire &amp; Humberside</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100</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81.818181818181827</v>
      </c>
      <c r="G42" s="15"/>
      <c r="H42" s="41">
        <f t="shared" si="1"/>
        <v>81.818181818181827</v>
      </c>
      <c r="I42" s="73">
        <f>IF(H42="","",IF($I$8="A",(RANK(H42,H$11:H$333,1)+COUNTIF(H$11:H42,H42)-1),(RANK(H42,H$11:H$333)+COUNTIF(H$11:H42,H42)-1)))</f>
        <v>52</v>
      </c>
      <c r="J42" s="40"/>
      <c r="K42" s="35">
        <f t="shared" si="10"/>
        <v>32</v>
      </c>
      <c r="L42" t="str">
        <f t="shared" si="2"/>
        <v>Northumberland</v>
      </c>
      <c r="M42" s="109">
        <f t="shared" si="3"/>
        <v>95.454545454545453</v>
      </c>
      <c r="N42" s="104">
        <f t="shared" si="19"/>
        <v>95.454545454545453</v>
      </c>
      <c r="O42" s="89" t="str">
        <f t="shared" si="20"/>
        <v/>
      </c>
      <c r="P42" s="89" t="str">
        <f t="shared" si="21"/>
        <v/>
      </c>
      <c r="Q42" s="89">
        <f t="shared" si="22"/>
        <v>95.454545454545453</v>
      </c>
      <c r="R42" s="85" t="str">
        <f t="shared" si="23"/>
        <v/>
      </c>
      <c r="S42" s="41" t="str">
        <f t="shared" si="24"/>
        <v/>
      </c>
      <c r="T42" s="166" t="str">
        <f>IF(L42="","",VLOOKUP(L42,classifications!C:K,9,FALSE))</f>
        <v>Sparse</v>
      </c>
      <c r="U42" s="167">
        <f t="shared" si="25"/>
        <v>95.454545454545453</v>
      </c>
      <c r="V42" s="173">
        <f>IF(U42="","",IF($I$8="A",(RANK(U42,U$11:U$333)+COUNTIF(U$11:U42,U42)-1),(RANK(U42,U$11:U$333,1)+COUNTIF(U$11:U42,U42)-1)))</f>
        <v>11</v>
      </c>
      <c r="W42" s="174"/>
      <c r="X42" s="5" t="str">
        <f>IF(L42="","",VLOOKUP($L42,classifications!$C:$J,6,FALSE))</f>
        <v xml:space="preserve">Predominantly Rural </v>
      </c>
      <c r="Y42">
        <f t="shared" si="26"/>
        <v>95.454545454545453</v>
      </c>
      <c r="Z42" s="39">
        <f>IF(Y42="","",IF(I$8="A",(RANK(Y42,Y$11:Y$333,1)+COUNTIF(Y$11:Y42,Y42)-1),(RANK(Y42,Y$11:Y$333)+COUNTIF(Y$11:Y42,Y42)-1)))</f>
        <v>11</v>
      </c>
      <c r="AA42" s="177" t="str">
        <f>IF(L42="","",VLOOKUP($L42,classifications!C:I,7,FALSE))</f>
        <v>Predominantly Rural</v>
      </c>
      <c r="AB42" s="173" t="str">
        <f t="shared" si="27"/>
        <v/>
      </c>
      <c r="AC42" s="173" t="str">
        <f>IF(AB42="","",IF($I$8="A",(RANK(AB42,AB$11:AB$333)+COUNTIF(AB$11:AB42,AB42)-1),(RANK(AB42,AB$11:AB$333,1)+COUNTIF(AB$11:AB42,AB42)-1)))</f>
        <v/>
      </c>
      <c r="AD42" s="173"/>
      <c r="AE42" s="45">
        <f>IF(I$8="A",(RANK(AG42,AG$11:AG$333,1)+COUNTIF(AG$11:AG42,AG42)-1),(RANK(AG42,AG$11:AG$333)+COUNTIF(AG$11:AG42,AG42)-1))</f>
        <v>31</v>
      </c>
      <c r="AF42" t="str">
        <f>VLOOKUP(Profile!$J$5,Families!$C:$R,2,FALSE)</f>
        <v>Cheshire West &amp; Chester</v>
      </c>
      <c r="AG42" s="15">
        <f t="shared" si="15"/>
        <v>100</v>
      </c>
      <c r="AH42" s="46">
        <f t="shared" si="28"/>
        <v>31</v>
      </c>
      <c r="AI42" s="5" t="str">
        <f>IF(L42="","",VLOOKUP($L42,classifications!$C:$J,8,FALSE))</f>
        <v>Unitary</v>
      </c>
      <c r="AJ42" s="42">
        <f t="shared" si="29"/>
        <v>95.454545454545453</v>
      </c>
      <c r="AK42" s="39">
        <f>IF(AJ42="","",IF(I$8="A",(RANK(AJ42,AJ$11:AJ$333,1)+COUNTIF(AJ$11:AJ42,AJ42)-1),(RANK(AJ42,AJ$11:AJ$333)+COUNTIF(AJ$11:AJ42,AJ42)-1)))</f>
        <v>32</v>
      </c>
      <c r="AL42" s="3">
        <f t="shared" si="16"/>
        <v>32</v>
      </c>
      <c r="AM42" t="str">
        <f t="shared" si="6"/>
        <v>Northumberland</v>
      </c>
      <c r="AN42">
        <f t="shared" si="7"/>
        <v>95.454545454545453</v>
      </c>
      <c r="AP42" s="5" t="str">
        <f>IF(L42="","",VLOOKUP($L42,classifications!$C:$E,3,FALSE))</f>
        <v>NE</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81.818181818181827</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94.444444444444443</v>
      </c>
      <c r="G43" s="15"/>
      <c r="H43" s="41">
        <f t="shared" si="1"/>
        <v>94.444444444444443</v>
      </c>
      <c r="I43" s="73">
        <f>IF(H43="","",IF($I$8="A",(RANK(H43,H$11:H$333,1)+COUNTIF(H$11:H43,H43)-1),(RANK(H43,H$11:H$333)+COUNTIF(H$11:H43,H43)-1)))</f>
        <v>33</v>
      </c>
      <c r="J43" s="40"/>
      <c r="K43" s="35">
        <f t="shared" si="10"/>
        <v>33</v>
      </c>
      <c r="L43" t="str">
        <f t="shared" si="2"/>
        <v>Bristol</v>
      </c>
      <c r="M43" s="109">
        <f t="shared" si="3"/>
        <v>94.444444444444443</v>
      </c>
      <c r="N43" s="104">
        <f t="shared" si="19"/>
        <v>94.444444444444443</v>
      </c>
      <c r="O43" s="89" t="str">
        <f t="shared" si="20"/>
        <v/>
      </c>
      <c r="P43" s="89" t="str">
        <f t="shared" si="21"/>
        <v/>
      </c>
      <c r="Q43" s="89">
        <f t="shared" si="22"/>
        <v>94.444444444444443</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f>IF(I$8="A",(RANK(AG43,AG$11:AG$333,1)+COUNTIF(AG$11:AG43,AG43)-1),(RANK(AG43,AG$11:AG$333)+COUNTIF(AG$11:AG43,AG43)-1))</f>
        <v>32</v>
      </c>
      <c r="AF43" t="str">
        <f>VLOOKUP(Profile!$J$5,Families!$C:$R,2,FALSE)</f>
        <v>Cheshire West &amp; Chester</v>
      </c>
      <c r="AG43" s="15">
        <f t="shared" si="15"/>
        <v>100</v>
      </c>
      <c r="AH43" s="46">
        <f t="shared" si="28"/>
        <v>32</v>
      </c>
      <c r="AI43" s="5" t="str">
        <f>IF(L43="","",VLOOKUP($L43,classifications!$C:$J,8,FALSE))</f>
        <v>Unitary</v>
      </c>
      <c r="AJ43" s="42">
        <f t="shared" si="29"/>
        <v>94.444444444444443</v>
      </c>
      <c r="AK43" s="39">
        <f>IF(AJ43="","",IF(I$8="A",(RANK(AJ43,AJ$11:AJ$333,1)+COUNTIF(AJ$11:AJ43,AJ43)-1),(RANK(AJ43,AJ$11:AJ$333)+COUNTIF(AJ$11:AJ43,AJ43)-1)))</f>
        <v>33</v>
      </c>
      <c r="AL43" s="3">
        <f t="shared" si="16"/>
        <v>33</v>
      </c>
      <c r="AM43" t="str">
        <f t="shared" si="6"/>
        <v>Bristol</v>
      </c>
      <c r="AN43">
        <f t="shared" si="7"/>
        <v>94.444444444444443</v>
      </c>
      <c r="AP43" s="5" t="str">
        <f>IF(L43="","",VLOOKUP($L43,classifications!$C:$E,3,FALSE))</f>
        <v>South West</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94.444444444444443</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100</v>
      </c>
      <c r="G44" s="15"/>
      <c r="H44" s="41" t="str">
        <f t="shared" si="1"/>
        <v/>
      </c>
      <c r="I44" s="73" t="str">
        <f>IF(H44="","",IF($I$8="A",(RANK(H44,H$11:H$333,1)+COUNTIF(H$11:H44,H44)-1),(RANK(H44,H$11:H$333)+COUNTIF(H$11:H44,H44)-1)))</f>
        <v/>
      </c>
      <c r="J44" s="40"/>
      <c r="K44" s="35">
        <f t="shared" si="10"/>
        <v>34</v>
      </c>
      <c r="L44" t="str">
        <f t="shared" si="2"/>
        <v>Buckinghamshire</v>
      </c>
      <c r="M44" s="109">
        <f t="shared" si="3"/>
        <v>93.023255813953483</v>
      </c>
      <c r="N44" s="104">
        <f t="shared" si="19"/>
        <v>93.023255813953483</v>
      </c>
      <c r="O44" s="89" t="str">
        <f t="shared" si="20"/>
        <v/>
      </c>
      <c r="P44" s="89" t="str">
        <f t="shared" si="21"/>
        <v/>
      </c>
      <c r="Q44" s="89">
        <f t="shared" si="22"/>
        <v>93.023255813953483</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Urban with Significant Rural</v>
      </c>
      <c r="Y44">
        <f t="shared" si="26"/>
        <v>93.023255813953483</v>
      </c>
      <c r="Z44" s="39">
        <f>IF(Y44="","",IF(I$8="A",(RANK(Y44,Y$11:Y$333,1)+COUNTIF(Y$11:Y44,Y44)-1),(RANK(Y44,Y$11:Y$333)+COUNTIF(Y$11:Y44,Y44)-1)))</f>
        <v>12</v>
      </c>
      <c r="AA44" s="177" t="str">
        <f>IF(L44="","",VLOOKUP($L44,classifications!C:I,7,FALSE))</f>
        <v>Urban with Significant Rural</v>
      </c>
      <c r="AB44" s="173">
        <f t="shared" si="27"/>
        <v>93.023255813953483</v>
      </c>
      <c r="AC44" s="173">
        <f>IF(AB44="","",IF($I$8="A",(RANK(AB44,AB$11:AB$333)+COUNTIF(AB$11:AB44,AB44)-1),(RANK(AB44,AB$11:AB$333,1)+COUNTIF(AB$11:AB44,AB44)-1)))</f>
        <v>6</v>
      </c>
      <c r="AD44" s="173"/>
      <c r="AE44" s="45">
        <f>IF(I$8="A",(RANK(AG44,AG$11:AG$333,1)+COUNTIF(AG$11:AG44,AG44)-1),(RANK(AG44,AG$11:AG$333)+COUNTIF(AG$11:AG44,AG44)-1))</f>
        <v>33</v>
      </c>
      <c r="AF44" t="str">
        <f>VLOOKUP(Profile!$J$5,Families!$C:$R,2,FALSE)</f>
        <v>Cheshire West &amp; Chester</v>
      </c>
      <c r="AG44" s="15">
        <f t="shared" si="15"/>
        <v>100</v>
      </c>
      <c r="AH44" s="46">
        <f t="shared" si="28"/>
        <v>33</v>
      </c>
      <c r="AI44" s="5" t="str">
        <f>IF(L44="","",VLOOKUP($L44,classifications!$C:$J,8,FALSE))</f>
        <v>Unitary</v>
      </c>
      <c r="AJ44" s="42">
        <f t="shared" si="29"/>
        <v>93.023255813953483</v>
      </c>
      <c r="AK44" s="39">
        <f>IF(AJ44="","",IF(I$8="A",(RANK(AJ44,AJ$11:AJ$333,1)+COUNTIF(AJ$11:AJ44,AJ44)-1),(RANK(AJ44,AJ$11:AJ$333)+COUNTIF(AJ$11:AJ44,AJ44)-1)))</f>
        <v>34</v>
      </c>
      <c r="AL44" s="3">
        <f t="shared" si="16"/>
        <v>34</v>
      </c>
      <c r="AM44" t="str">
        <f t="shared" si="6"/>
        <v>Buckinghamshire</v>
      </c>
      <c r="AN44">
        <f t="shared" si="7"/>
        <v>93.023255813953483</v>
      </c>
      <c r="AP44" s="5" t="str">
        <f>IF(L44="","",VLOOKUP($L44,classifications!$C:$E,3,FALSE))</f>
        <v>South East</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100</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100</v>
      </c>
      <c r="G45" s="15"/>
      <c r="H45" s="41" t="str">
        <f t="shared" si="1"/>
        <v/>
      </c>
      <c r="I45" s="73" t="str">
        <f>IF(H45="","",IF($I$8="A",(RANK(H45,H$11:H$333,1)+COUNTIF(H$11:H45,H45)-1),(RANK(H45,H$11:H$333)+COUNTIF(H$11:H45,H45)-1)))</f>
        <v/>
      </c>
      <c r="J45" s="40"/>
      <c r="K45" s="35">
        <f t="shared" si="10"/>
        <v>35</v>
      </c>
      <c r="L45" t="str">
        <f t="shared" si="2"/>
        <v>Thurrock</v>
      </c>
      <c r="M45" s="109">
        <f t="shared" si="3"/>
        <v>92.857142857142861</v>
      </c>
      <c r="N45" s="104">
        <f t="shared" si="19"/>
        <v>92.857142857142861</v>
      </c>
      <c r="O45" s="89" t="str">
        <f t="shared" si="20"/>
        <v/>
      </c>
      <c r="P45" s="89" t="str">
        <f t="shared" si="21"/>
        <v/>
      </c>
      <c r="Q45" s="89">
        <f t="shared" si="22"/>
        <v>92.857142857142861</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34</v>
      </c>
      <c r="AF45" t="str">
        <f>VLOOKUP(Profile!$J$5,Families!$C:$R,2,FALSE)</f>
        <v>Cheshire West &amp; Chester</v>
      </c>
      <c r="AG45" s="15">
        <f t="shared" si="15"/>
        <v>100</v>
      </c>
      <c r="AH45" s="46">
        <f t="shared" si="28"/>
        <v>34</v>
      </c>
      <c r="AI45" s="5" t="str">
        <f>IF(L45="","",VLOOKUP($L45,classifications!$C:$J,8,FALSE))</f>
        <v>Unitary</v>
      </c>
      <c r="AJ45" s="42">
        <f t="shared" si="29"/>
        <v>92.857142857142861</v>
      </c>
      <c r="AK45" s="39">
        <f>IF(AJ45="","",IF(I$8="A",(RANK(AJ45,AJ$11:AJ$333,1)+COUNTIF(AJ$11:AJ45,AJ45)-1),(RANK(AJ45,AJ$11:AJ$333)+COUNTIF(AJ$11:AJ45,AJ45)-1)))</f>
        <v>35</v>
      </c>
      <c r="AL45" s="3">
        <f t="shared" si="16"/>
        <v>35</v>
      </c>
      <c r="AM45" t="str">
        <f t="shared" si="6"/>
        <v>Thurrock</v>
      </c>
      <c r="AN45">
        <f t="shared" si="7"/>
        <v>92.857142857142861</v>
      </c>
      <c r="AP45" s="5" t="str">
        <f>IF(L45="","",VLOOKUP($L45,classifications!$C:$E,3,FALSE))</f>
        <v>East of England</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100</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75</v>
      </c>
      <c r="G46" s="15"/>
      <c r="H46" s="41" t="str">
        <f t="shared" si="1"/>
        <v/>
      </c>
      <c r="I46" s="73" t="str">
        <f>IF(H46="","",IF($I$8="A",(RANK(H46,H$11:H$333,1)+COUNTIF(H$11:H46,H46)-1),(RANK(H46,H$11:H$333)+COUNTIF(H$11:H46,H46)-1)))</f>
        <v/>
      </c>
      <c r="J46" s="40"/>
      <c r="K46" s="35">
        <f t="shared" si="10"/>
        <v>36</v>
      </c>
      <c r="L46" t="str">
        <f t="shared" si="2"/>
        <v>Shropshire</v>
      </c>
      <c r="M46" s="109">
        <f t="shared" si="3"/>
        <v>92.10526315789474</v>
      </c>
      <c r="N46" s="104">
        <f t="shared" si="19"/>
        <v>92.10526315789474</v>
      </c>
      <c r="O46" s="89" t="str">
        <f t="shared" si="20"/>
        <v/>
      </c>
      <c r="P46" s="89" t="str">
        <f t="shared" si="21"/>
        <v/>
      </c>
      <c r="Q46" s="89">
        <f t="shared" si="22"/>
        <v>92.10526315789474</v>
      </c>
      <c r="R46" s="85" t="str">
        <f t="shared" si="23"/>
        <v/>
      </c>
      <c r="S46" s="41" t="str">
        <f t="shared" si="24"/>
        <v/>
      </c>
      <c r="T46" s="166" t="str">
        <f>IF(L46="","",VLOOKUP(L46,classifications!C:K,9,FALSE))</f>
        <v>Sparse</v>
      </c>
      <c r="U46" s="167">
        <f t="shared" si="25"/>
        <v>92.10526315789474</v>
      </c>
      <c r="V46" s="173">
        <f>IF(U46="","",IF($I$8="A",(RANK(U46,U$11:U$333)+COUNTIF(U$11:U46,U46)-1),(RANK(U46,U$11:U$333,1)+COUNTIF(U$11:U46,U46)-1)))</f>
        <v>10</v>
      </c>
      <c r="W46" s="174"/>
      <c r="X46" s="5" t="str">
        <f>IF(L46="","",VLOOKUP($L46,classifications!$C:$J,6,FALSE))</f>
        <v xml:space="preserve">Predominantly Rural </v>
      </c>
      <c r="Y46">
        <f t="shared" si="26"/>
        <v>92.10526315789474</v>
      </c>
      <c r="Z46" s="39">
        <f>IF(Y46="","",IF(I$8="A",(RANK(Y46,Y$11:Y$333,1)+COUNTIF(Y$11:Y46,Y46)-1),(RANK(Y46,Y$11:Y$333)+COUNTIF(Y$11:Y46,Y46)-1)))</f>
        <v>13</v>
      </c>
      <c r="AA46" s="177" t="str">
        <f>IF(L46="","",VLOOKUP($L46,classifications!C:I,7,FALSE))</f>
        <v>Predominantly Rural</v>
      </c>
      <c r="AB46" s="173" t="str">
        <f t="shared" si="27"/>
        <v/>
      </c>
      <c r="AC46" s="173" t="str">
        <f>IF(AB46="","",IF($I$8="A",(RANK(AB46,AB$11:AB$333)+COUNTIF(AB$11:AB46,AB46)-1),(RANK(AB46,AB$11:AB$333,1)+COUNTIF(AB$11:AB46,AB46)-1)))</f>
        <v/>
      </c>
      <c r="AD46" s="173"/>
      <c r="AE46" s="45">
        <f>IF(I$8="A",(RANK(AG46,AG$11:AG$333,1)+COUNTIF(AG$11:AG46,AG46)-1),(RANK(AG46,AG$11:AG$333)+COUNTIF(AG$11:AG46,AG46)-1))</f>
        <v>35</v>
      </c>
      <c r="AF46" t="str">
        <f>VLOOKUP(Profile!$J$5,Families!$C:$R,2,FALSE)</f>
        <v>Cheshire West &amp; Chester</v>
      </c>
      <c r="AG46" s="15">
        <f t="shared" si="15"/>
        <v>100</v>
      </c>
      <c r="AH46" s="46">
        <f t="shared" si="28"/>
        <v>35</v>
      </c>
      <c r="AI46" s="5" t="str">
        <f>IF(L46="","",VLOOKUP($L46,classifications!$C:$J,8,FALSE))</f>
        <v>Unitary</v>
      </c>
      <c r="AJ46" s="42">
        <f t="shared" si="29"/>
        <v>92.10526315789474</v>
      </c>
      <c r="AK46" s="39">
        <f>IF(AJ46="","",IF(I$8="A",(RANK(AJ46,AJ$11:AJ$333,1)+COUNTIF(AJ$11:AJ46,AJ46)-1),(RANK(AJ46,AJ$11:AJ$333)+COUNTIF(AJ$11:AJ46,AJ46)-1)))</f>
        <v>36</v>
      </c>
      <c r="AL46" s="3">
        <f t="shared" si="16"/>
        <v>36</v>
      </c>
      <c r="AM46" t="str">
        <f t="shared" si="6"/>
        <v>Shropshire</v>
      </c>
      <c r="AN46">
        <f t="shared" si="7"/>
        <v>92.10526315789474</v>
      </c>
      <c r="AP46" s="5" t="str">
        <f>IF(L46="","",VLOOKUP($L46,classifications!$C:$E,3,FALSE))</f>
        <v>West Midlands</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75</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100</v>
      </c>
      <c r="G47" s="15"/>
      <c r="H47" s="41" t="str">
        <f t="shared" si="1"/>
        <v/>
      </c>
      <c r="I47" s="73" t="str">
        <f>IF(H47="","",IF($I$8="A",(RANK(H47,H$11:H$333,1)+COUNTIF(H$11:H47,H47)-1),(RANK(H47,H$11:H$333)+COUNTIF(H$11:H47,H47)-1)))</f>
        <v/>
      </c>
      <c r="J47" s="40"/>
      <c r="K47" s="35">
        <f t="shared" si="10"/>
        <v>37</v>
      </c>
      <c r="L47" t="str">
        <f t="shared" si="2"/>
        <v>Cumberland</v>
      </c>
      <c r="M47" s="109">
        <f t="shared" si="3"/>
        <v>91.666666666666657</v>
      </c>
      <c r="N47" s="104">
        <f t="shared" si="19"/>
        <v>91.666666666666657</v>
      </c>
      <c r="O47" s="89" t="str">
        <f t="shared" si="20"/>
        <v/>
      </c>
      <c r="P47" s="89" t="str">
        <f t="shared" si="21"/>
        <v/>
      </c>
      <c r="Q47" s="89">
        <f t="shared" si="22"/>
        <v>91.666666666666657</v>
      </c>
      <c r="R47" s="85" t="str">
        <f t="shared" si="23"/>
        <v/>
      </c>
      <c r="S47" s="41" t="str">
        <f t="shared" si="24"/>
        <v/>
      </c>
      <c r="T47" s="166" t="str">
        <f>IF(L47="","",VLOOKUP(L47,classifications!C:K,9,FALSE))</f>
        <v>Sparse</v>
      </c>
      <c r="U47" s="167">
        <f t="shared" si="25"/>
        <v>91.666666666666657</v>
      </c>
      <c r="V47" s="173">
        <f>IF(U47="","",IF($I$8="A",(RANK(U47,U$11:U$333)+COUNTIF(U$11:U47,U47)-1),(RANK(U47,U$11:U$333,1)+COUNTIF(U$11:U47,U47)-1)))</f>
        <v>7</v>
      </c>
      <c r="W47" s="174"/>
      <c r="X47" s="5" t="str">
        <f>IF(L47="","",VLOOKUP($L47,classifications!$C:$J,6,FALSE))</f>
        <v xml:space="preserve">Predominantly Rural </v>
      </c>
      <c r="Y47">
        <f t="shared" si="26"/>
        <v>91.666666666666657</v>
      </c>
      <c r="Z47" s="39">
        <f>IF(Y47="","",IF(I$8="A",(RANK(Y47,Y$11:Y$333,1)+COUNTIF(Y$11:Y47,Y47)-1),(RANK(Y47,Y$11:Y$333)+COUNTIF(Y$11:Y47,Y47)-1)))</f>
        <v>14</v>
      </c>
      <c r="AA47" s="177" t="str">
        <f>IF(L47="","",VLOOKUP($L47,classifications!C:I,7,FALSE))</f>
        <v>Predominantly Rural</v>
      </c>
      <c r="AB47" s="173" t="str">
        <f t="shared" si="27"/>
        <v/>
      </c>
      <c r="AC47" s="173" t="str">
        <f>IF(AB47="","",IF($I$8="A",(RANK(AB47,AB$11:AB$333)+COUNTIF(AB$11:AB47,AB47)-1),(RANK(AB47,AB$11:AB$333,1)+COUNTIF(AB$11:AB47,AB47)-1)))</f>
        <v/>
      </c>
      <c r="AD47" s="173"/>
      <c r="AE47" s="45">
        <f>IF(I$8="A",(RANK(AG47,AG$11:AG$333,1)+COUNTIF(AG$11:AG47,AG47)-1),(RANK(AG47,AG$11:AG$333)+COUNTIF(AG$11:AG47,AG47)-1))</f>
        <v>36</v>
      </c>
      <c r="AF47" t="str">
        <f>VLOOKUP(Profile!$J$5,Families!$C:$R,2,FALSE)</f>
        <v>Cheshire West &amp; Chester</v>
      </c>
      <c r="AG47" s="15">
        <f t="shared" si="15"/>
        <v>100</v>
      </c>
      <c r="AH47" s="46">
        <f t="shared" si="28"/>
        <v>36</v>
      </c>
      <c r="AI47" s="5" t="str">
        <f>IF(L47="","",VLOOKUP($L47,classifications!$C:$J,8,FALSE))</f>
        <v>Unitary</v>
      </c>
      <c r="AJ47" s="42">
        <f t="shared" si="29"/>
        <v>91.666666666666657</v>
      </c>
      <c r="AK47" s="39">
        <f>IF(AJ47="","",IF(I$8="A",(RANK(AJ47,AJ$11:AJ$333,1)+COUNTIF(AJ$11:AJ47,AJ47)-1),(RANK(AJ47,AJ$11:AJ$333)+COUNTIF(AJ$11:AJ47,AJ47)-1)))</f>
        <v>37</v>
      </c>
      <c r="AL47" s="3">
        <f t="shared" si="16"/>
        <v>37</v>
      </c>
      <c r="AM47" t="str">
        <f t="shared" si="6"/>
        <v>Cumberland</v>
      </c>
      <c r="AN47">
        <f t="shared" si="7"/>
        <v>91.666666666666657</v>
      </c>
      <c r="AP47" s="5" t="str">
        <f>IF(L47="","",VLOOKUP($L47,classifications!$C:$E,3,FALSE))</f>
        <v>North West</v>
      </c>
      <c r="AQ47" s="42">
        <f t="shared" si="30"/>
        <v>91.666666666666657</v>
      </c>
      <c r="AR47" s="39">
        <f>IF(AQ47="","",IF(I$8="A",(RANK(AQ47,AQ$11:AQ$333,1)+COUNTIF(AQ$11:AQ47,AQ47)-1),(RANK(AQ47,AQ$11:AQ$333)+COUNTIF(AQ$11:AQ47,AQ47)-1)))</f>
        <v>4</v>
      </c>
      <c r="AS47" s="3" t="str">
        <f t="shared" si="18"/>
        <v/>
      </c>
      <c r="AT47" s="39" t="str">
        <f t="shared" si="8"/>
        <v/>
      </c>
      <c r="AU47" s="42" t="str">
        <f t="shared" si="9"/>
        <v/>
      </c>
      <c r="AX47">
        <f>HLOOKUP($AX$9&amp;$AX$10,Data!$A$1:$ZT$1975,(MATCH($C47,Data!$A$1:$A$1975,0)),FALSE)</f>
        <v>100</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100</v>
      </c>
      <c r="G48" s="15"/>
      <c r="H48" s="41" t="str">
        <f t="shared" si="1"/>
        <v/>
      </c>
      <c r="I48" s="73" t="str">
        <f>IF(H48="","",IF($I$8="A",(RANK(H48,H$11:H$333,1)+COUNTIF(H$11:H48,H48)-1),(RANK(H48,H$11:H$333)+COUNTIF(H$11:H48,H48)-1)))</f>
        <v/>
      </c>
      <c r="J48" s="40"/>
      <c r="K48" s="35">
        <f t="shared" si="10"/>
        <v>38</v>
      </c>
      <c r="L48" t="str">
        <f t="shared" si="2"/>
        <v>Cheshire East</v>
      </c>
      <c r="M48" s="109">
        <f t="shared" si="3"/>
        <v>91.666666666666657</v>
      </c>
      <c r="N48" s="104">
        <f t="shared" si="19"/>
        <v>91.666666666666657</v>
      </c>
      <c r="O48" s="89" t="str">
        <f t="shared" si="20"/>
        <v/>
      </c>
      <c r="P48" s="89" t="str">
        <f t="shared" si="21"/>
        <v/>
      </c>
      <c r="Q48" s="89">
        <f t="shared" si="22"/>
        <v>91.666666666666657</v>
      </c>
      <c r="R48" s="85" t="str">
        <f t="shared" si="23"/>
        <v/>
      </c>
      <c r="S48" s="41" t="str">
        <f t="shared" si="24"/>
        <v>u</v>
      </c>
      <c r="T48" s="166" t="str">
        <f>IF(L48="","",VLOOKUP(L48,classifications!C:K,9,FALSE))</f>
        <v>Sparse</v>
      </c>
      <c r="U48" s="167">
        <f t="shared" si="25"/>
        <v>91.666666666666657</v>
      </c>
      <c r="V48" s="173">
        <f>IF(U48="","",IF($I$8="A",(RANK(U48,U$11:U$333)+COUNTIF(U$11:U48,U48)-1),(RANK(U48,U$11:U$333,1)+COUNTIF(U$11:U48,U48)-1)))</f>
        <v>8</v>
      </c>
      <c r="W48" s="174"/>
      <c r="X48" s="5" t="str">
        <f>IF(L48="","",VLOOKUP($L48,classifications!$C:$J,6,FALSE))</f>
        <v>Urban with Significant Rural</v>
      </c>
      <c r="Y48">
        <f t="shared" si="26"/>
        <v>91.666666666666657</v>
      </c>
      <c r="Z48" s="39">
        <f>IF(Y48="","",IF(I$8="A",(RANK(Y48,Y$11:Y$333,1)+COUNTIF(Y$11:Y48,Y48)-1),(RANK(Y48,Y$11:Y$333)+COUNTIF(Y$11:Y48,Y48)-1)))</f>
        <v>15</v>
      </c>
      <c r="AA48" s="177" t="str">
        <f>IF(L48="","",VLOOKUP($L48,classifications!C:I,7,FALSE))</f>
        <v>Urban with Significant Rural</v>
      </c>
      <c r="AB48" s="173">
        <f t="shared" si="27"/>
        <v>91.666666666666657</v>
      </c>
      <c r="AC48" s="173">
        <f>IF(AB48="","",IF($I$8="A",(RANK(AB48,AB$11:AB$333)+COUNTIF(AB$11:AB48,AB48)-1),(RANK(AB48,AB$11:AB$333,1)+COUNTIF(AB$11:AB48,AB48)-1)))</f>
        <v>4</v>
      </c>
      <c r="AD48" s="173"/>
      <c r="AE48" s="45">
        <f>IF(I$8="A",(RANK(AG48,AG$11:AG$333,1)+COUNTIF(AG$11:AG48,AG48)-1),(RANK(AG48,AG$11:AG$333)+COUNTIF(AG$11:AG48,AG48)-1))</f>
        <v>37</v>
      </c>
      <c r="AF48" t="str">
        <f>VLOOKUP(Profile!$J$5,Families!$C:$R,2,FALSE)</f>
        <v>Cheshire West &amp; Chester</v>
      </c>
      <c r="AG48" s="15">
        <f t="shared" si="15"/>
        <v>100</v>
      </c>
      <c r="AH48" s="46">
        <f t="shared" si="28"/>
        <v>37</v>
      </c>
      <c r="AI48" s="5" t="str">
        <f>IF(L48="","",VLOOKUP($L48,classifications!$C:$J,8,FALSE))</f>
        <v>Unitary</v>
      </c>
      <c r="AJ48" s="42">
        <f t="shared" si="29"/>
        <v>91.666666666666657</v>
      </c>
      <c r="AK48" s="39">
        <f>IF(AJ48="","",IF(I$8="A",(RANK(AJ48,AJ$11:AJ$333,1)+COUNTIF(AJ$11:AJ48,AJ48)-1),(RANK(AJ48,AJ$11:AJ$333)+COUNTIF(AJ$11:AJ48,AJ48)-1)))</f>
        <v>38</v>
      </c>
      <c r="AL48" s="3">
        <f t="shared" si="16"/>
        <v>38</v>
      </c>
      <c r="AM48" t="str">
        <f t="shared" si="6"/>
        <v>Cheshire East</v>
      </c>
      <c r="AN48">
        <f t="shared" si="7"/>
        <v>91.666666666666657</v>
      </c>
      <c r="AP48" s="5" t="str">
        <f>IF(L48="","",VLOOKUP($L48,classifications!$C:$E,3,FALSE))</f>
        <v>North West</v>
      </c>
      <c r="AQ48" s="42">
        <f t="shared" si="30"/>
        <v>91.666666666666657</v>
      </c>
      <c r="AR48" s="39">
        <f>IF(AQ48="","",IF(I$8="A",(RANK(AQ48,AQ$11:AQ$333,1)+COUNTIF(AQ$11:AQ48,AQ48)-1),(RANK(AQ48,AQ$11:AQ$333)+COUNTIF(AQ$11:AQ48,AQ48)-1)))</f>
        <v>5</v>
      </c>
      <c r="AS48" s="3" t="str">
        <f t="shared" si="18"/>
        <v/>
      </c>
      <c r="AT48" s="39" t="str">
        <f t="shared" si="8"/>
        <v/>
      </c>
      <c r="AU48" s="42" t="str">
        <f t="shared" si="9"/>
        <v/>
      </c>
      <c r="AX48">
        <f>HLOOKUP($AX$9&amp;$AX$10,Data!$A$1:$ZT$1975,(MATCH($C48,Data!$A$1:$A$1975,0)),FALSE)</f>
        <v>100</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93.023255813953483</v>
      </c>
      <c r="G49" s="15"/>
      <c r="H49" s="41">
        <f t="shared" si="1"/>
        <v>93.023255813953483</v>
      </c>
      <c r="I49" s="73">
        <f>IF(H49="","",IF($I$8="A",(RANK(H49,H$11:H$333,1)+COUNTIF(H$11:H49,H49)-1),(RANK(H49,H$11:H$333)+COUNTIF(H$11:H49,H49)-1)))</f>
        <v>34</v>
      </c>
      <c r="J49" s="40"/>
      <c r="K49" s="35">
        <f t="shared" si="10"/>
        <v>39</v>
      </c>
      <c r="L49" t="str">
        <f t="shared" si="2"/>
        <v>Derby</v>
      </c>
      <c r="M49" s="109">
        <f t="shared" si="3"/>
        <v>91.666666666666657</v>
      </c>
      <c r="N49" s="104">
        <f t="shared" si="19"/>
        <v>91.666666666666657</v>
      </c>
      <c r="O49" s="89" t="str">
        <f t="shared" si="20"/>
        <v/>
      </c>
      <c r="P49" s="89" t="str">
        <f t="shared" si="21"/>
        <v/>
      </c>
      <c r="Q49" s="89">
        <f t="shared" si="22"/>
        <v>91.666666666666657</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f>IF(I$8="A",(RANK(AG49,AG$11:AG$333,1)+COUNTIF(AG$11:AG49,AG49)-1),(RANK(AG49,AG$11:AG$333)+COUNTIF(AG$11:AG49,AG49)-1))</f>
        <v>38</v>
      </c>
      <c r="AF49" t="str">
        <f>VLOOKUP(Profile!$J$5,Families!$C:$R,2,FALSE)</f>
        <v>Cheshire West &amp; Chester</v>
      </c>
      <c r="AG49" s="15">
        <f t="shared" si="15"/>
        <v>100</v>
      </c>
      <c r="AH49" s="46">
        <f t="shared" si="28"/>
        <v>38</v>
      </c>
      <c r="AI49" s="5" t="str">
        <f>IF(L49="","",VLOOKUP($L49,classifications!$C:$J,8,FALSE))</f>
        <v>Unitary</v>
      </c>
      <c r="AJ49" s="42">
        <f t="shared" si="29"/>
        <v>91.666666666666657</v>
      </c>
      <c r="AK49" s="39">
        <f>IF(AJ49="","",IF(I$8="A",(RANK(AJ49,AJ$11:AJ$333,1)+COUNTIF(AJ$11:AJ49,AJ49)-1),(RANK(AJ49,AJ$11:AJ$333)+COUNTIF(AJ$11:AJ49,AJ49)-1)))</f>
        <v>39</v>
      </c>
      <c r="AL49" s="3">
        <f t="shared" si="16"/>
        <v>39</v>
      </c>
      <c r="AM49" t="str">
        <f t="shared" si="6"/>
        <v>Derby</v>
      </c>
      <c r="AN49">
        <f t="shared" si="7"/>
        <v>91.666666666666657</v>
      </c>
      <c r="AP49" s="5" t="str">
        <f>IF(L49="","",VLOOKUP($L49,classifications!$C:$E,3,FALSE))</f>
        <v>East Midlands</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93.023255813953483</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100</v>
      </c>
      <c r="G50" s="15"/>
      <c r="H50" s="41" t="str">
        <f t="shared" si="1"/>
        <v/>
      </c>
      <c r="I50" s="73" t="str">
        <f>IF(H50="","",IF($I$8="A",(RANK(H50,H$11:H$333,1)+COUNTIF(H$11:H50,H50)-1),(RANK(H50,H$11:H$333)+COUNTIF(H$11:H50,H50)-1)))</f>
        <v/>
      </c>
      <c r="J50" s="40"/>
      <c r="K50" s="35">
        <f t="shared" si="10"/>
        <v>40</v>
      </c>
      <c r="L50" t="str">
        <f t="shared" si="2"/>
        <v>North Somerset</v>
      </c>
      <c r="M50" s="109">
        <f t="shared" si="3"/>
        <v>91.666666666666657</v>
      </c>
      <c r="N50" s="104">
        <f t="shared" si="19"/>
        <v>91.666666666666657</v>
      </c>
      <c r="O50" s="89" t="str">
        <f t="shared" si="20"/>
        <v/>
      </c>
      <c r="P50" s="89" t="str">
        <f t="shared" si="21"/>
        <v/>
      </c>
      <c r="Q50" s="89">
        <f t="shared" si="22"/>
        <v>91.666666666666657</v>
      </c>
      <c r="R50" s="85" t="str">
        <f t="shared" si="23"/>
        <v/>
      </c>
      <c r="S50" s="41" t="str">
        <f t="shared" si="24"/>
        <v/>
      </c>
      <c r="T50" s="166" t="str">
        <f>IF(L50="","",VLOOKUP(L50,classifications!C:K,9,FALSE))</f>
        <v>Sparse</v>
      </c>
      <c r="U50" s="167">
        <f t="shared" si="25"/>
        <v>91.666666666666657</v>
      </c>
      <c r="V50" s="173">
        <f>IF(U50="","",IF($I$8="A",(RANK(U50,U$11:U$333)+COUNTIF(U$11:U50,U50)-1),(RANK(U50,U$11:U$333,1)+COUNTIF(U$11:U50,U50)-1)))</f>
        <v>9</v>
      </c>
      <c r="W50" s="174"/>
      <c r="X50" s="5" t="str">
        <f>IF(L50="","",VLOOKUP($L50,classifications!$C:$J,6,FALSE))</f>
        <v>Urban with Significant Rural</v>
      </c>
      <c r="Y50">
        <f t="shared" si="26"/>
        <v>91.666666666666657</v>
      </c>
      <c r="Z50" s="39">
        <f>IF(Y50="","",IF(I$8="A",(RANK(Y50,Y$11:Y$333,1)+COUNTIF(Y$11:Y50,Y50)-1),(RANK(Y50,Y$11:Y$333)+COUNTIF(Y$11:Y50,Y50)-1)))</f>
        <v>16</v>
      </c>
      <c r="AA50" s="177" t="str">
        <f>IF(L50="","",VLOOKUP($L50,classifications!C:I,7,FALSE))</f>
        <v>Urban with Significant Rural</v>
      </c>
      <c r="AB50" s="173">
        <f t="shared" si="27"/>
        <v>91.666666666666657</v>
      </c>
      <c r="AC50" s="173">
        <f>IF(AB50="","",IF($I$8="A",(RANK(AB50,AB$11:AB$333)+COUNTIF(AB$11:AB50,AB50)-1),(RANK(AB50,AB$11:AB$333,1)+COUNTIF(AB$11:AB50,AB50)-1)))</f>
        <v>5</v>
      </c>
      <c r="AD50" s="173"/>
      <c r="AE50" s="45">
        <f>IF(I$8="A",(RANK(AG50,AG$11:AG$333,1)+COUNTIF(AG$11:AG50,AG50)-1),(RANK(AG50,AG$11:AG$333)+COUNTIF(AG$11:AG50,AG50)-1))</f>
        <v>39</v>
      </c>
      <c r="AF50" t="str">
        <f>VLOOKUP(Profile!$J$5,Families!$C:$R,2,FALSE)</f>
        <v>Cheshire West &amp; Chester</v>
      </c>
      <c r="AG50" s="15">
        <f t="shared" si="15"/>
        <v>100</v>
      </c>
      <c r="AH50" s="46">
        <f t="shared" si="28"/>
        <v>39</v>
      </c>
      <c r="AI50" s="5" t="str">
        <f>IF(L50="","",VLOOKUP($L50,classifications!$C:$J,8,FALSE))</f>
        <v>Unitary</v>
      </c>
      <c r="AJ50" s="42">
        <f t="shared" si="29"/>
        <v>91.666666666666657</v>
      </c>
      <c r="AK50" s="39">
        <f>IF(AJ50="","",IF(I$8="A",(RANK(AJ50,AJ$11:AJ$333,1)+COUNTIF(AJ$11:AJ50,AJ50)-1),(RANK(AJ50,AJ$11:AJ$333)+COUNTIF(AJ$11:AJ50,AJ50)-1)))</f>
        <v>40</v>
      </c>
      <c r="AL50" s="3">
        <f t="shared" si="16"/>
        <v>40</v>
      </c>
      <c r="AM50" t="str">
        <f t="shared" si="6"/>
        <v>North Somerset</v>
      </c>
      <c r="AN50">
        <f t="shared" si="7"/>
        <v>91.666666666666657</v>
      </c>
      <c r="AP50" s="5" t="str">
        <f>IF(L50="","",VLOOKUP($L50,classifications!$C:$E,3,FALSE))</f>
        <v>South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100</v>
      </c>
      <c r="G51" s="15"/>
      <c r="H51" s="41" t="str">
        <f t="shared" si="1"/>
        <v/>
      </c>
      <c r="I51" s="73" t="str">
        <f>IF(H51="","",IF($I$8="A",(RANK(H51,H$11:H$333,1)+COUNTIF(H$11:H51,H51)-1),(RANK(H51,H$11:H$333)+COUNTIF(H$11:H51,H51)-1)))</f>
        <v/>
      </c>
      <c r="J51" s="40"/>
      <c r="K51" s="35">
        <f t="shared" si="10"/>
        <v>41</v>
      </c>
      <c r="L51" t="str">
        <f t="shared" si="2"/>
        <v>Luton</v>
      </c>
      <c r="M51" s="109">
        <f t="shared" si="3"/>
        <v>88.888888888888886</v>
      </c>
      <c r="N51" s="104">
        <f t="shared" si="19"/>
        <v>88.888888888888886</v>
      </c>
      <c r="O51" s="89" t="str">
        <f t="shared" si="20"/>
        <v/>
      </c>
      <c r="P51" s="89" t="str">
        <f t="shared" si="21"/>
        <v/>
      </c>
      <c r="Q51" s="89">
        <f t="shared" si="22"/>
        <v>88.888888888888886</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f>IF(I$8="A",(RANK(AG51,AG$11:AG$333,1)+COUNTIF(AG$11:AG51,AG51)-1),(RANK(AG51,AG$11:AG$333)+COUNTIF(AG$11:AG51,AG51)-1))</f>
        <v>40</v>
      </c>
      <c r="AF51" t="str">
        <f>VLOOKUP(Profile!$J$5,Families!$C:$R,2,FALSE)</f>
        <v>Cheshire West &amp; Chester</v>
      </c>
      <c r="AG51" s="15">
        <f t="shared" si="15"/>
        <v>100</v>
      </c>
      <c r="AH51" s="46">
        <f t="shared" si="28"/>
        <v>40</v>
      </c>
      <c r="AI51" s="5" t="str">
        <f>IF(L51="","",VLOOKUP($L51,classifications!$C:$J,8,FALSE))</f>
        <v>Unitary</v>
      </c>
      <c r="AJ51" s="42">
        <f t="shared" si="29"/>
        <v>88.888888888888886</v>
      </c>
      <c r="AK51" s="39">
        <f>IF(AJ51="","",IF(I$8="A",(RANK(AJ51,AJ$11:AJ$333,1)+COUNTIF(AJ$11:AJ51,AJ51)-1),(RANK(AJ51,AJ$11:AJ$333)+COUNTIF(AJ$11:AJ51,AJ51)-1)))</f>
        <v>41</v>
      </c>
      <c r="AL51" s="3">
        <f t="shared" si="16"/>
        <v>41</v>
      </c>
      <c r="AM51" t="str">
        <f t="shared" si="6"/>
        <v>Luton</v>
      </c>
      <c r="AN51">
        <f t="shared" si="7"/>
        <v>88.888888888888886</v>
      </c>
      <c r="AP51" s="5" t="str">
        <f>IF(L51="","",VLOOKUP($L51,classifications!$C:$E,3,FALSE))</f>
        <v>East of England</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100</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100</v>
      </c>
      <c r="G52" s="15"/>
      <c r="H52" s="41" t="str">
        <f t="shared" si="1"/>
        <v/>
      </c>
      <c r="I52" s="73" t="str">
        <f>IF(H52="","",IF($I$8="A",(RANK(H52,H$11:H$333,1)+COUNTIF(H$11:H52,H52)-1),(RANK(H52,H$11:H$333)+COUNTIF(H$11:H52,H52)-1)))</f>
        <v/>
      </c>
      <c r="J52" s="40"/>
      <c r="K52" s="35">
        <f t="shared" si="10"/>
        <v>42</v>
      </c>
      <c r="L52" t="str">
        <f t="shared" si="2"/>
        <v>Westmorland &amp; Furness</v>
      </c>
      <c r="M52" s="109">
        <f t="shared" si="3"/>
        <v>87.5</v>
      </c>
      <c r="N52" s="104">
        <f t="shared" si="19"/>
        <v>87.5</v>
      </c>
      <c r="O52" s="89" t="str">
        <f t="shared" si="20"/>
        <v/>
      </c>
      <c r="P52" s="89" t="str">
        <f t="shared" si="21"/>
        <v/>
      </c>
      <c r="Q52" s="89">
        <f t="shared" si="22"/>
        <v>87.5</v>
      </c>
      <c r="R52" s="85" t="str">
        <f t="shared" si="23"/>
        <v/>
      </c>
      <c r="S52" s="41" t="str">
        <f t="shared" si="24"/>
        <v/>
      </c>
      <c r="T52" s="166" t="str">
        <f>IF(L52="","",VLOOKUP(L52,classifications!C:K,9,FALSE))</f>
        <v>Sparse</v>
      </c>
      <c r="U52" s="167">
        <f t="shared" si="25"/>
        <v>87.5</v>
      </c>
      <c r="V52" s="173">
        <f>IF(U52="","",IF($I$8="A",(RANK(U52,U$11:U$333)+COUNTIF(U$11:U52,U52)-1),(RANK(U52,U$11:U$333,1)+COUNTIF(U$11:U52,U52)-1)))</f>
        <v>5</v>
      </c>
      <c r="W52" s="174"/>
      <c r="X52" s="5" t="str">
        <f>IF(L52="","",VLOOKUP($L52,classifications!$C:$J,6,FALSE))</f>
        <v xml:space="preserve">Predominantly Rural </v>
      </c>
      <c r="Y52">
        <f t="shared" si="26"/>
        <v>87.5</v>
      </c>
      <c r="Z52" s="39">
        <f>IF(Y52="","",IF(I$8="A",(RANK(Y52,Y$11:Y$333,1)+COUNTIF(Y$11:Y52,Y52)-1),(RANK(Y52,Y$11:Y$333)+COUNTIF(Y$11:Y52,Y52)-1)))</f>
        <v>17</v>
      </c>
      <c r="AA52" s="177" t="str">
        <f>IF(L52="","",VLOOKUP($L52,classifications!C:I,7,FALSE))</f>
        <v>Predominantly Rural</v>
      </c>
      <c r="AB52" s="173" t="str">
        <f t="shared" si="27"/>
        <v/>
      </c>
      <c r="AC52" s="173" t="str">
        <f>IF(AB52="","",IF($I$8="A",(RANK(AB52,AB$11:AB$333)+COUNTIF(AB$11:AB52,AB52)-1),(RANK(AB52,AB$11:AB$333,1)+COUNTIF(AB$11:AB52,AB52)-1)))</f>
        <v/>
      </c>
      <c r="AD52" s="173"/>
      <c r="AE52" s="45">
        <f>IF(I$8="A",(RANK(AG52,AG$11:AG$333,1)+COUNTIF(AG$11:AG52,AG52)-1),(RANK(AG52,AG$11:AG$333)+COUNTIF(AG$11:AG52,AG52)-1))</f>
        <v>41</v>
      </c>
      <c r="AF52" t="str">
        <f>VLOOKUP(Profile!$J$5,Families!$C:$R,2,FALSE)</f>
        <v>Cheshire West &amp; Chester</v>
      </c>
      <c r="AG52" s="15">
        <f t="shared" si="15"/>
        <v>100</v>
      </c>
      <c r="AH52" s="46">
        <f t="shared" si="28"/>
        <v>41</v>
      </c>
      <c r="AI52" s="5" t="str">
        <f>IF(L52="","",VLOOKUP($L52,classifications!$C:$J,8,FALSE))</f>
        <v>Unitary</v>
      </c>
      <c r="AJ52" s="42">
        <f t="shared" si="29"/>
        <v>87.5</v>
      </c>
      <c r="AK52" s="39">
        <f>IF(AJ52="","",IF(I$8="A",(RANK(AJ52,AJ$11:AJ$333,1)+COUNTIF(AJ$11:AJ52,AJ52)-1),(RANK(AJ52,AJ$11:AJ$333)+COUNTIF(AJ$11:AJ52,AJ52)-1)))</f>
        <v>42</v>
      </c>
      <c r="AL52" s="3">
        <f t="shared" si="16"/>
        <v>42</v>
      </c>
      <c r="AM52" t="str">
        <f t="shared" si="6"/>
        <v>Westmorland &amp; Furness</v>
      </c>
      <c r="AN52">
        <f t="shared" si="7"/>
        <v>87.5</v>
      </c>
      <c r="AP52" s="5" t="str">
        <f>IF(L52="","",VLOOKUP($L52,classifications!$C:$E,3,FALSE))</f>
        <v>North West</v>
      </c>
      <c r="AQ52" s="42">
        <f t="shared" si="30"/>
        <v>87.5</v>
      </c>
      <c r="AR52" s="39">
        <f>IF(AQ52="","",IF(I$8="A",(RANK(AQ52,AQ$11:AQ$333,1)+COUNTIF(AQ$11:AQ52,AQ52)-1),(RANK(AQ52,AQ$11:AQ$333)+COUNTIF(AQ$11:AQ52,AQ52)-1)))</f>
        <v>6</v>
      </c>
      <c r="AS52" s="3" t="str">
        <f t="shared" si="18"/>
        <v/>
      </c>
      <c r="AT52" s="39" t="str">
        <f t="shared" si="8"/>
        <v/>
      </c>
      <c r="AU52" s="42" t="str">
        <f t="shared" si="9"/>
        <v/>
      </c>
      <c r="AX52">
        <f>HLOOKUP($AX$9&amp;$AX$10,Data!$A$1:$ZT$1975,(MATCH($C52,Data!$A$1:$A$1975,0)),FALSE)</f>
        <v>100</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90.909090909090907</v>
      </c>
      <c r="G53" s="15"/>
      <c r="H53" s="41" t="str">
        <f t="shared" si="1"/>
        <v/>
      </c>
      <c r="I53" s="73" t="str">
        <f>IF(H53="","",IF($I$8="A",(RANK(H53,H$11:H$333,1)+COUNTIF(H$11:H53,H53)-1),(RANK(H53,H$11:H$333)+COUNTIF(H$11:H53,H53)-1)))</f>
        <v/>
      </c>
      <c r="J53" s="40"/>
      <c r="K53" s="35">
        <f t="shared" si="10"/>
        <v>43</v>
      </c>
      <c r="L53" t="str">
        <f t="shared" si="2"/>
        <v>Isle Of Wight</v>
      </c>
      <c r="M53" s="109">
        <f t="shared" si="3"/>
        <v>87.5</v>
      </c>
      <c r="N53" s="104">
        <f t="shared" si="19"/>
        <v>87.5</v>
      </c>
      <c r="O53" s="89" t="str">
        <f t="shared" si="20"/>
        <v/>
      </c>
      <c r="P53" s="89" t="str">
        <f t="shared" si="21"/>
        <v/>
      </c>
      <c r="Q53" s="89">
        <f t="shared" si="22"/>
        <v>87.5</v>
      </c>
      <c r="R53" s="85" t="str">
        <f t="shared" si="23"/>
        <v/>
      </c>
      <c r="S53" s="41" t="str">
        <f t="shared" si="24"/>
        <v/>
      </c>
      <c r="T53" s="166" t="str">
        <f>IF(L53="","",VLOOKUP(L53,classifications!C:K,9,FALSE))</f>
        <v>Sparse</v>
      </c>
      <c r="U53" s="167">
        <f t="shared" si="25"/>
        <v>87.5</v>
      </c>
      <c r="V53" s="173">
        <f>IF(U53="","",IF($I$8="A",(RANK(U53,U$11:U$333)+COUNTIF(U$11:U53,U53)-1),(RANK(U53,U$11:U$333,1)+COUNTIF(U$11:U53,U53)-1)))</f>
        <v>6</v>
      </c>
      <c r="W53" s="174"/>
      <c r="X53" s="5" t="str">
        <f>IF(L53="","",VLOOKUP($L53,classifications!$C:$J,6,FALSE))</f>
        <v xml:space="preserve">Predominantly Rural </v>
      </c>
      <c r="Y53">
        <f t="shared" si="26"/>
        <v>87.5</v>
      </c>
      <c r="Z53" s="39">
        <f>IF(Y53="","",IF(I$8="A",(RANK(Y53,Y$11:Y$333,1)+COUNTIF(Y$11:Y53,Y53)-1),(RANK(Y53,Y$11:Y$333)+COUNTIF(Y$11:Y53,Y53)-1)))</f>
        <v>18</v>
      </c>
      <c r="AA53" s="177" t="str">
        <f>IF(L53="","",VLOOKUP($L53,classifications!C:I,7,FALSE))</f>
        <v>Predominantly Rural</v>
      </c>
      <c r="AB53" s="173" t="str">
        <f t="shared" si="27"/>
        <v/>
      </c>
      <c r="AC53" s="173" t="str">
        <f>IF(AB53="","",IF($I$8="A",(RANK(AB53,AB$11:AB$333)+COUNTIF(AB$11:AB53,AB53)-1),(RANK(AB53,AB$11:AB$333,1)+COUNTIF(AB$11:AB53,AB53)-1)))</f>
        <v/>
      </c>
      <c r="AD53" s="173"/>
      <c r="AE53" s="45">
        <f>IF(I$8="A",(RANK(AG53,AG$11:AG$333,1)+COUNTIF(AG$11:AG53,AG53)-1),(RANK(AG53,AG$11:AG$333)+COUNTIF(AG$11:AG53,AG53)-1))</f>
        <v>42</v>
      </c>
      <c r="AF53" t="str">
        <f>VLOOKUP(Profile!$J$5,Families!$C:$R,2,FALSE)</f>
        <v>Cheshire West &amp; Chester</v>
      </c>
      <c r="AG53" s="15">
        <f t="shared" si="15"/>
        <v>100</v>
      </c>
      <c r="AH53" s="46">
        <f t="shared" si="28"/>
        <v>42</v>
      </c>
      <c r="AI53" s="5" t="str">
        <f>IF(L53="","",VLOOKUP($L53,classifications!$C:$J,8,FALSE))</f>
        <v>Unitary</v>
      </c>
      <c r="AJ53" s="42">
        <f t="shared" si="29"/>
        <v>87.5</v>
      </c>
      <c r="AK53" s="39">
        <f>IF(AJ53="","",IF(I$8="A",(RANK(AJ53,AJ$11:AJ$333,1)+COUNTIF(AJ$11:AJ53,AJ53)-1),(RANK(AJ53,AJ$11:AJ$333)+COUNTIF(AJ$11:AJ53,AJ53)-1)))</f>
        <v>43</v>
      </c>
      <c r="AL53" s="3">
        <f t="shared" si="16"/>
        <v>43</v>
      </c>
      <c r="AM53" t="str">
        <f t="shared" si="6"/>
        <v>Isle Of Wight</v>
      </c>
      <c r="AN53">
        <f t="shared" si="7"/>
        <v>87.5</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90.909090909090907</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Medway</v>
      </c>
      <c r="M54" s="109">
        <f t="shared" si="3"/>
        <v>87.5</v>
      </c>
      <c r="N54" s="104">
        <f t="shared" si="19"/>
        <v>87.5</v>
      </c>
      <c r="O54" s="89" t="str">
        <f t="shared" si="20"/>
        <v/>
      </c>
      <c r="P54" s="89" t="str">
        <f t="shared" si="21"/>
        <v/>
      </c>
      <c r="Q54" s="89">
        <f t="shared" si="22"/>
        <v>87.5</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43</v>
      </c>
      <c r="AF54" t="str">
        <f>VLOOKUP(Profile!$J$5,Families!$C:$R,2,FALSE)</f>
        <v>Cheshire West &amp; Chester</v>
      </c>
      <c r="AG54" s="15">
        <f t="shared" si="15"/>
        <v>100</v>
      </c>
      <c r="AH54" s="46">
        <f t="shared" si="28"/>
        <v>43</v>
      </c>
      <c r="AI54" s="5" t="str">
        <f>IF(L54="","",VLOOKUP($L54,classifications!$C:$J,8,FALSE))</f>
        <v>Unitary</v>
      </c>
      <c r="AJ54" s="42">
        <f t="shared" si="29"/>
        <v>87.5</v>
      </c>
      <c r="AK54" s="39">
        <f>IF(AJ54="","",IF(I$8="A",(RANK(AJ54,AJ$11:AJ$333,1)+COUNTIF(AJ$11:AJ54,AJ54)-1),(RANK(AJ54,AJ$11:AJ$333)+COUNTIF(AJ$11:AJ54,AJ54)-1)))</f>
        <v>44</v>
      </c>
      <c r="AL54" s="3">
        <f t="shared" si="16"/>
        <v>44</v>
      </c>
      <c r="AM54" t="str">
        <f t="shared" si="6"/>
        <v>Medway</v>
      </c>
      <c r="AN54">
        <f t="shared" si="7"/>
        <v>87.5</v>
      </c>
      <c r="AP54" s="5" t="str">
        <f>IF(L54="","",VLOOKUP($L54,classifications!$C:$E,3,FALSE))</f>
        <v>South East</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100</v>
      </c>
      <c r="G55" s="15"/>
      <c r="H55" s="41" t="str">
        <f t="shared" si="1"/>
        <v/>
      </c>
      <c r="I55" s="73" t="str">
        <f>IF(H55="","",IF($I$8="A",(RANK(H55,H$11:H$333,1)+COUNTIF(H$11:H55,H55)-1),(RANK(H55,H$11:H$333)+COUNTIF(H$11:H55,H55)-1)))</f>
        <v/>
      </c>
      <c r="J55" s="40"/>
      <c r="K55" s="35">
        <f t="shared" si="10"/>
        <v>45</v>
      </c>
      <c r="L55" t="str">
        <f t="shared" si="2"/>
        <v>Durham</v>
      </c>
      <c r="M55" s="109">
        <f t="shared" si="3"/>
        <v>86.666666666666671</v>
      </c>
      <c r="N55" s="104">
        <f t="shared" si="19"/>
        <v>86.666666666666671</v>
      </c>
      <c r="O55" s="89" t="str">
        <f t="shared" si="20"/>
        <v/>
      </c>
      <c r="P55" s="89" t="str">
        <f t="shared" si="21"/>
        <v/>
      </c>
      <c r="Q55" s="89">
        <f t="shared" si="22"/>
        <v>86.666666666666671</v>
      </c>
      <c r="R55" s="85" t="str">
        <f t="shared" si="23"/>
        <v/>
      </c>
      <c r="S55" s="41" t="str">
        <f t="shared" si="24"/>
        <v/>
      </c>
      <c r="T55" s="166" t="str">
        <f>IF(L55="","",VLOOKUP(L55,classifications!C:K,9,FALSE))</f>
        <v>Sparse</v>
      </c>
      <c r="U55" s="167">
        <f t="shared" si="25"/>
        <v>86.666666666666671</v>
      </c>
      <c r="V55" s="173">
        <f>IF(U55="","",IF($I$8="A",(RANK(U55,U$11:U$333)+COUNTIF(U$11:U55,U55)-1),(RANK(U55,U$11:U$333,1)+COUNTIF(U$11:U55,U55)-1)))</f>
        <v>4</v>
      </c>
      <c r="W55" s="174"/>
      <c r="X55" s="5" t="str">
        <f>IF(L55="","",VLOOKUP($L55,classifications!$C:$J,6,FALSE))</f>
        <v xml:space="preserve">Predominantly Rural </v>
      </c>
      <c r="Y55">
        <f t="shared" si="26"/>
        <v>86.666666666666671</v>
      </c>
      <c r="Z55" s="39">
        <f>IF(Y55="","",IF(I$8="A",(RANK(Y55,Y$11:Y$333,1)+COUNTIF(Y$11:Y55,Y55)-1),(RANK(Y55,Y$11:Y$333)+COUNTIF(Y$11:Y55,Y55)-1)))</f>
        <v>19</v>
      </c>
      <c r="AA55" s="177" t="str">
        <f>IF(L55="","",VLOOKUP($L55,classifications!C:I,7,FALSE))</f>
        <v>Predominantly Rural</v>
      </c>
      <c r="AB55" s="173" t="str">
        <f t="shared" si="27"/>
        <v/>
      </c>
      <c r="AC55" s="173" t="str">
        <f>IF(AB55="","",IF($I$8="A",(RANK(AB55,AB$11:AB$333)+COUNTIF(AB$11:AB55,AB55)-1),(RANK(AB55,AB$11:AB$333,1)+COUNTIF(AB$11:AB55,AB55)-1)))</f>
        <v/>
      </c>
      <c r="AD55" s="173"/>
      <c r="AE55" s="45">
        <f>IF(I$8="A",(RANK(AG55,AG$11:AG$333,1)+COUNTIF(AG$11:AG55,AG55)-1),(RANK(AG55,AG$11:AG$333)+COUNTIF(AG$11:AG55,AG55)-1))</f>
        <v>44</v>
      </c>
      <c r="AF55" t="str">
        <f>VLOOKUP(Profile!$J$5,Families!$C:$R,2,FALSE)</f>
        <v>Cheshire West &amp; Chester</v>
      </c>
      <c r="AG55" s="15">
        <f t="shared" si="15"/>
        <v>100</v>
      </c>
      <c r="AH55" s="46">
        <f t="shared" si="28"/>
        <v>44</v>
      </c>
      <c r="AI55" s="5" t="str">
        <f>IF(L55="","",VLOOKUP($L55,classifications!$C:$J,8,FALSE))</f>
        <v>Unitary</v>
      </c>
      <c r="AJ55" s="42">
        <f t="shared" si="29"/>
        <v>86.666666666666671</v>
      </c>
      <c r="AK55" s="39">
        <f>IF(AJ55="","",IF(I$8="A",(RANK(AJ55,AJ$11:AJ$333,1)+COUNTIF(AJ$11:AJ55,AJ55)-1),(RANK(AJ55,AJ$11:AJ$333)+COUNTIF(AJ$11:AJ55,AJ55)-1)))</f>
        <v>45</v>
      </c>
      <c r="AL55" s="3">
        <f t="shared" si="16"/>
        <v>45</v>
      </c>
      <c r="AM55" t="str">
        <f t="shared" si="6"/>
        <v>Durham</v>
      </c>
      <c r="AN55">
        <f t="shared" si="7"/>
        <v>86.666666666666671</v>
      </c>
      <c r="AP55" s="5" t="str">
        <f>IF(L55="","",VLOOKUP($L55,classifications!$C:$E,3,FALSE))</f>
        <v>NE</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100</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0</v>
      </c>
      <c r="G56" s="15"/>
      <c r="H56" s="41" t="str">
        <f t="shared" si="1"/>
        <v/>
      </c>
      <c r="I56" s="73" t="str">
        <f>IF(H56="","",IF($I$8="A",(RANK(H56,H$11:H$333,1)+COUNTIF(H$11:H56,H56)-1),(RANK(H56,H$11:H$333)+COUNTIF(H$11:H56,H56)-1)))</f>
        <v/>
      </c>
      <c r="J56" s="40"/>
      <c r="K56" s="35">
        <f t="shared" si="10"/>
        <v>46</v>
      </c>
      <c r="L56" t="str">
        <f t="shared" si="2"/>
        <v>Bournemouth, Christchurch &amp; Poole</v>
      </c>
      <c r="M56" s="109">
        <f t="shared" si="3"/>
        <v>86.206896551724128</v>
      </c>
      <c r="N56" s="104">
        <f t="shared" si="19"/>
        <v>86.206896551724128</v>
      </c>
      <c r="O56" s="89" t="str">
        <f t="shared" si="20"/>
        <v/>
      </c>
      <c r="P56" s="89" t="str">
        <f t="shared" si="21"/>
        <v/>
      </c>
      <c r="Q56" s="89">
        <f t="shared" si="22"/>
        <v>86.206896551724128</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f>IF(I$8="A",(RANK(AG56,AG$11:AG$333,1)+COUNTIF(AG$11:AG56,AG56)-1),(RANK(AG56,AG$11:AG$333)+COUNTIF(AG$11:AG56,AG56)-1))</f>
        <v>45</v>
      </c>
      <c r="AF56" t="str">
        <f>VLOOKUP(Profile!$J$5,Families!$C:$R,2,FALSE)</f>
        <v>Cheshire West &amp; Chester</v>
      </c>
      <c r="AG56" s="15">
        <f t="shared" si="15"/>
        <v>100</v>
      </c>
      <c r="AH56" s="46">
        <f t="shared" si="28"/>
        <v>45</v>
      </c>
      <c r="AI56" s="5" t="str">
        <f>IF(L56="","",VLOOKUP($L56,classifications!$C:$J,8,FALSE))</f>
        <v>Unitary</v>
      </c>
      <c r="AJ56" s="42">
        <f t="shared" si="29"/>
        <v>86.206896551724128</v>
      </c>
      <c r="AK56" s="39">
        <f>IF(AJ56="","",IF(I$8="A",(RANK(AJ56,AJ$11:AJ$333,1)+COUNTIF(AJ$11:AJ56,AJ56)-1),(RANK(AJ56,AJ$11:AJ$333)+COUNTIF(AJ$11:AJ56,AJ56)-1)))</f>
        <v>46</v>
      </c>
      <c r="AL56" s="3">
        <f t="shared" si="16"/>
        <v>46</v>
      </c>
      <c r="AM56" t="str">
        <f t="shared" si="6"/>
        <v>Bournemouth, Christchurch &amp; Poole</v>
      </c>
      <c r="AN56">
        <f t="shared" si="7"/>
        <v>86.206896551724128</v>
      </c>
      <c r="AP56" s="5" t="str">
        <f>IF(L56="","",VLOOKUP($L56,classifications!$C:$E,3,FALSE))</f>
        <v>South West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0</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100</v>
      </c>
      <c r="G57" s="15"/>
      <c r="H57" s="41" t="str">
        <f t="shared" si="1"/>
        <v/>
      </c>
      <c r="I57" s="73" t="str">
        <f>IF(H57="","",IF($I$8="A",(RANK(H57,H$11:H$333,1)+COUNTIF(H$11:H57,H57)-1),(RANK(H57,H$11:H$333)+COUNTIF(H$11:H57,H57)-1)))</f>
        <v/>
      </c>
      <c r="J57" s="40"/>
      <c r="K57" s="35">
        <f t="shared" si="10"/>
        <v>47</v>
      </c>
      <c r="L57" t="str">
        <f t="shared" si="2"/>
        <v>Central Bedfordshire</v>
      </c>
      <c r="M57" s="109">
        <f t="shared" si="3"/>
        <v>85.18518518518519</v>
      </c>
      <c r="N57" s="104">
        <f t="shared" si="19"/>
        <v>85.18518518518519</v>
      </c>
      <c r="O57" s="89" t="str">
        <f t="shared" si="20"/>
        <v/>
      </c>
      <c r="P57" s="89" t="str">
        <f t="shared" si="21"/>
        <v/>
      </c>
      <c r="Q57" s="89" t="str">
        <f t="shared" si="22"/>
        <v/>
      </c>
      <c r="R57" s="85">
        <f t="shared" si="23"/>
        <v>85.18518518518519</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 xml:space="preserve">Predominantly Rural </v>
      </c>
      <c r="Y57">
        <f t="shared" si="26"/>
        <v>85.18518518518519</v>
      </c>
      <c r="Z57" s="39">
        <f>IF(Y57="","",IF(I$8="A",(RANK(Y57,Y$11:Y$333,1)+COUNTIF(Y$11:Y57,Y57)-1),(RANK(Y57,Y$11:Y$333)+COUNTIF(Y$11:Y57,Y57)-1)))</f>
        <v>20</v>
      </c>
      <c r="AA57" s="177" t="str">
        <f>IF(L57="","",VLOOKUP($L57,classifications!C:I,7,FALSE))</f>
        <v>Predominantly Rural</v>
      </c>
      <c r="AB57" s="173" t="str">
        <f t="shared" si="27"/>
        <v/>
      </c>
      <c r="AC57" s="173" t="str">
        <f>IF(AB57="","",IF($I$8="A",(RANK(AB57,AB$11:AB$333)+COUNTIF(AB$11:AB57,AB57)-1),(RANK(AB57,AB$11:AB$333,1)+COUNTIF(AB$11:AB57,AB57)-1)))</f>
        <v/>
      </c>
      <c r="AD57" s="173"/>
      <c r="AE57" s="45">
        <f>IF(I$8="A",(RANK(AG57,AG$11:AG$333,1)+COUNTIF(AG$11:AG57,AG57)-1),(RANK(AG57,AG$11:AG$333)+COUNTIF(AG$11:AG57,AG57)-1))</f>
        <v>46</v>
      </c>
      <c r="AF57" t="str">
        <f>VLOOKUP(Profile!$J$5,Families!$C:$R,2,FALSE)</f>
        <v>Cheshire West &amp; Chester</v>
      </c>
      <c r="AG57" s="15">
        <f t="shared" si="15"/>
        <v>100</v>
      </c>
      <c r="AH57" s="46">
        <f t="shared" si="28"/>
        <v>46</v>
      </c>
      <c r="AI57" s="5" t="str">
        <f>IF(L57="","",VLOOKUP($L57,classifications!$C:$J,8,FALSE))</f>
        <v>Unitary</v>
      </c>
      <c r="AJ57" s="42">
        <f t="shared" si="29"/>
        <v>85.18518518518519</v>
      </c>
      <c r="AK57" s="39">
        <f>IF(AJ57="","",IF(I$8="A",(RANK(AJ57,AJ$11:AJ$333,1)+COUNTIF(AJ$11:AJ57,AJ57)-1),(RANK(AJ57,AJ$11:AJ$333)+COUNTIF(AJ$11:AJ57,AJ57)-1)))</f>
        <v>47</v>
      </c>
      <c r="AL57" s="3">
        <f t="shared" si="16"/>
        <v>47</v>
      </c>
      <c r="AM57" t="str">
        <f t="shared" si="6"/>
        <v>Central Bedfordshire</v>
      </c>
      <c r="AN57">
        <f t="shared" si="7"/>
        <v>85.18518518518519</v>
      </c>
      <c r="AP57" s="5" t="str">
        <f>IF(L57="","",VLOOKUP($L57,classifications!$C:$E,3,FALSE))</f>
        <v>East of England</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100</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100</v>
      </c>
      <c r="G58" s="15"/>
      <c r="H58" s="41" t="str">
        <f t="shared" si="1"/>
        <v/>
      </c>
      <c r="I58" s="73" t="str">
        <f>IF(H58="","",IF($I$8="A",(RANK(H58,H$11:H$333,1)+COUNTIF(H$11:H58,H58)-1),(RANK(H58,H$11:H$333)+COUNTIF(H$11:H58,H58)-1)))</f>
        <v/>
      </c>
      <c r="J58" s="40"/>
      <c r="K58" s="35">
        <f t="shared" si="10"/>
        <v>48</v>
      </c>
      <c r="L58" t="str">
        <f t="shared" si="2"/>
        <v>North Yorkshire</v>
      </c>
      <c r="M58" s="109">
        <f t="shared" si="3"/>
        <v>84.090909090909093</v>
      </c>
      <c r="N58" s="104">
        <f t="shared" ref="N58:N121" si="31">IF(L58="","",IF($H$8="%%",M58*100,M58))</f>
        <v>84.090909090909093</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84.090909090909093</v>
      </c>
      <c r="S58" s="41" t="str">
        <f t="shared" ref="S58:S121" si="36">IF(L58=D$3,"u","")</f>
        <v/>
      </c>
      <c r="T58" s="166" t="str">
        <f>IF(L58="","",VLOOKUP(L58,classifications!C:K,9,FALSE))</f>
        <v>Sparse</v>
      </c>
      <c r="U58" s="167">
        <f t="shared" ref="U58:U121" si="37">IF(T58="Sparse",M58,"")</f>
        <v>84.090909090909093</v>
      </c>
      <c r="V58" s="173">
        <f>IF(U58="","",IF($I$8="A",(RANK(U58,U$11:U$333)+COUNTIF(U$11:U58,U58)-1),(RANK(U58,U$11:U$333,1)+COUNTIF(U$11:U58,U58)-1)))</f>
        <v>3</v>
      </c>
      <c r="W58" s="174"/>
      <c r="X58" s="5" t="str">
        <f>IF(L58="","",VLOOKUP($L58,classifications!$C:$J,6,FALSE))</f>
        <v xml:space="preserve">Predominantly Rural </v>
      </c>
      <c r="Y58">
        <f t="shared" ref="Y58:Y121" si="38">IF($D$1="UA",IF(X58="Predominantly Rural ",M58,IF(X58="Predominantly Rural ",M58,IF(X58="Urban with Significant Rural",M58,""))),IF($D$1="SD",IF(X58=$H$3,M58,"")))</f>
        <v>84.090909090909093</v>
      </c>
      <c r="Z58" s="39">
        <f>IF(Y58="","",IF(I$8="A",(RANK(Y58,Y$11:Y$333,1)+COUNTIF(Y$11:Y58,Y58)-1),(RANK(Y58,Y$11:Y$333)+COUNTIF(Y$11:Y58,Y58)-1)))</f>
        <v>21</v>
      </c>
      <c r="AA58" s="177" t="str">
        <f>IF(L58="","",VLOOKUP($L58,classifications!C:I,7,FALSE))</f>
        <v>Predominantly Rural</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47</v>
      </c>
      <c r="AF58" t="str">
        <f>VLOOKUP(Profile!$J$5,Families!$C:$R,2,FALSE)</f>
        <v>Cheshire West &amp; Chester</v>
      </c>
      <c r="AG58" s="15">
        <f t="shared" si="15"/>
        <v>100</v>
      </c>
      <c r="AH58" s="46">
        <f t="shared" ref="AH58:AH121" si="40">AE58</f>
        <v>47</v>
      </c>
      <c r="AI58" s="5" t="str">
        <f>IF(L58="","",VLOOKUP($L58,classifications!$C:$J,8,FALSE))</f>
        <v>Unitary</v>
      </c>
      <c r="AJ58" s="42">
        <f t="shared" ref="AJ58:AJ121" si="41">IF(AI58=$I$3,M58,"")</f>
        <v>84.090909090909093</v>
      </c>
      <c r="AK58" s="39">
        <f>IF(AJ58="","",IF(I$8="A",(RANK(AJ58,AJ$11:AJ$333,1)+COUNTIF(AJ$11:AJ58,AJ58)-1),(RANK(AJ58,AJ$11:AJ$333)+COUNTIF(AJ$11:AJ58,AJ58)-1)))</f>
        <v>48</v>
      </c>
      <c r="AL58" s="3">
        <f t="shared" si="16"/>
        <v>48</v>
      </c>
      <c r="AM58" t="str">
        <f t="shared" si="6"/>
        <v>North Yorkshire</v>
      </c>
      <c r="AN58">
        <f t="shared" si="7"/>
        <v>84.090909090909093</v>
      </c>
      <c r="AP58" s="5" t="str">
        <f>IF(L58="","",VLOOKUP($L58,classifications!$C:$E,3,FALSE))</f>
        <v>Yorkshire &amp; Humberside</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100</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85.18518518518519</v>
      </c>
      <c r="G59" s="15"/>
      <c r="H59" s="41">
        <f t="shared" si="1"/>
        <v>85.18518518518519</v>
      </c>
      <c r="I59" s="73">
        <f>IF(H59="","",IF($I$8="A",(RANK(H59,H$11:H$333,1)+COUNTIF(H$11:H59,H59)-1),(RANK(H59,H$11:H$333)+COUNTIF(H$11:H59,H59)-1)))</f>
        <v>47</v>
      </c>
      <c r="J59" s="40"/>
      <c r="K59" s="35">
        <f t="shared" si="10"/>
        <v>49</v>
      </c>
      <c r="L59" t="str">
        <f t="shared" si="2"/>
        <v>North Lincolnshire</v>
      </c>
      <c r="M59" s="109">
        <f t="shared" si="3"/>
        <v>83.333333333333343</v>
      </c>
      <c r="N59" s="104">
        <f t="shared" si="31"/>
        <v>83.333333333333343</v>
      </c>
      <c r="O59" s="89" t="str">
        <f t="shared" si="32"/>
        <v/>
      </c>
      <c r="P59" s="89" t="str">
        <f t="shared" si="33"/>
        <v/>
      </c>
      <c r="Q59" s="89" t="str">
        <f t="shared" si="34"/>
        <v/>
      </c>
      <c r="R59" s="85">
        <f t="shared" si="35"/>
        <v>83.333333333333343</v>
      </c>
      <c r="S59" s="41" t="str">
        <f t="shared" si="36"/>
        <v/>
      </c>
      <c r="T59" s="166" t="str">
        <f>IF(L59="","",VLOOKUP(L59,classifications!C:K,9,FALSE))</f>
        <v>Sparse</v>
      </c>
      <c r="U59" s="167">
        <f t="shared" si="37"/>
        <v>83.333333333333343</v>
      </c>
      <c r="V59" s="173">
        <f>IF(U59="","",IF($I$8="A",(RANK(U59,U$11:U$333)+COUNTIF(U$11:U59,U59)-1),(RANK(U59,U$11:U$333,1)+COUNTIF(U$11:U59,U59)-1)))</f>
        <v>1</v>
      </c>
      <c r="W59" s="174"/>
      <c r="X59" s="5" t="str">
        <f>IF(L59="","",VLOOKUP($L59,classifications!$C:$J,6,FALSE))</f>
        <v>Urban with Significant Rural</v>
      </c>
      <c r="Y59">
        <f t="shared" si="38"/>
        <v>83.333333333333343</v>
      </c>
      <c r="Z59" s="39">
        <f>IF(Y59="","",IF(I$8="A",(RANK(Y59,Y$11:Y$333,1)+COUNTIF(Y$11:Y59,Y59)-1),(RANK(Y59,Y$11:Y$333)+COUNTIF(Y$11:Y59,Y59)-1)))</f>
        <v>22</v>
      </c>
      <c r="AA59" s="177" t="str">
        <f>IF(L59="","",VLOOKUP($L59,classifications!C:I,7,FALSE))</f>
        <v>Urban with Significant Rural</v>
      </c>
      <c r="AB59" s="173">
        <f t="shared" si="39"/>
        <v>83.333333333333343</v>
      </c>
      <c r="AC59" s="173">
        <f>IF(AB59="","",IF($I$8="A",(RANK(AB59,AB$11:AB$333)+COUNTIF(AB$11:AB59,AB59)-1),(RANK(AB59,AB$11:AB$333,1)+COUNTIF(AB$11:AB59,AB59)-1)))</f>
        <v>2</v>
      </c>
      <c r="AD59" s="173"/>
      <c r="AE59" s="45">
        <f>IF(I$8="A",(RANK(AG59,AG$11:AG$333,1)+COUNTIF(AG$11:AG59,AG59)-1),(RANK(AG59,AG$11:AG$333)+COUNTIF(AG$11:AG59,AG59)-1))</f>
        <v>48</v>
      </c>
      <c r="AF59" t="str">
        <f>VLOOKUP(Profile!$J$5,Families!$C:$R,2,FALSE)</f>
        <v>Cheshire West &amp; Chester</v>
      </c>
      <c r="AG59" s="15">
        <f t="shared" si="15"/>
        <v>100</v>
      </c>
      <c r="AH59" s="46">
        <f t="shared" si="40"/>
        <v>48</v>
      </c>
      <c r="AI59" s="5" t="str">
        <f>IF(L59="","",VLOOKUP($L59,classifications!$C:$J,8,FALSE))</f>
        <v>Unitary</v>
      </c>
      <c r="AJ59" s="42">
        <f t="shared" si="41"/>
        <v>83.333333333333343</v>
      </c>
      <c r="AK59" s="39">
        <f>IF(AJ59="","",IF(I$8="A",(RANK(AJ59,AJ$11:AJ$333,1)+COUNTIF(AJ$11:AJ59,AJ59)-1),(RANK(AJ59,AJ$11:AJ$333)+COUNTIF(AJ$11:AJ59,AJ59)-1)))</f>
        <v>49</v>
      </c>
      <c r="AL59" s="3">
        <f t="shared" si="16"/>
        <v>49</v>
      </c>
      <c r="AM59" t="str">
        <f t="shared" si="6"/>
        <v>North Lincolnshire</v>
      </c>
      <c r="AN59">
        <f t="shared" si="7"/>
        <v>83.333333333333343</v>
      </c>
      <c r="AP59" s="5" t="str">
        <f>IF(L59="","",VLOOKUP($L59,classifications!$C:$E,3,FALSE))</f>
        <v>Yorkshire &amp; Humberside</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85.18518518518519</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75</v>
      </c>
      <c r="G60" s="15"/>
      <c r="H60" s="41" t="str">
        <f t="shared" si="1"/>
        <v/>
      </c>
      <c r="I60" s="73" t="str">
        <f>IF(H60="","",IF($I$8="A",(RANK(H60,H$11:H$333,1)+COUNTIF(H$11:H60,H60)-1),(RANK(H60,H$11:H$333)+COUNTIF(H$11:H60,H60)-1)))</f>
        <v/>
      </c>
      <c r="J60" s="40"/>
      <c r="K60" s="35">
        <f t="shared" si="10"/>
        <v>50</v>
      </c>
      <c r="L60" t="str">
        <f t="shared" si="2"/>
        <v>Swindon</v>
      </c>
      <c r="M60" s="109">
        <f t="shared" si="3"/>
        <v>83.333333333333343</v>
      </c>
      <c r="N60" s="104">
        <f t="shared" si="31"/>
        <v>83.333333333333343</v>
      </c>
      <c r="O60" s="89" t="str">
        <f t="shared" si="32"/>
        <v/>
      </c>
      <c r="P60" s="89" t="str">
        <f t="shared" si="33"/>
        <v/>
      </c>
      <c r="Q60" s="89" t="str">
        <f t="shared" si="34"/>
        <v/>
      </c>
      <c r="R60" s="85">
        <f t="shared" si="35"/>
        <v>83.333333333333343</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49</v>
      </c>
      <c r="AF60" t="str">
        <f>VLOOKUP(Profile!$J$5,Families!$C:$R,2,FALSE)</f>
        <v>Cheshire West &amp; Chester</v>
      </c>
      <c r="AG60" s="15">
        <f t="shared" si="15"/>
        <v>100</v>
      </c>
      <c r="AH60" s="46">
        <f t="shared" si="40"/>
        <v>49</v>
      </c>
      <c r="AI60" s="5" t="str">
        <f>IF(L60="","",VLOOKUP($L60,classifications!$C:$J,8,FALSE))</f>
        <v>Unitary</v>
      </c>
      <c r="AJ60" s="42">
        <f t="shared" si="41"/>
        <v>83.333333333333343</v>
      </c>
      <c r="AK60" s="39">
        <f>IF(AJ60="","",IF(I$8="A",(RANK(AJ60,AJ$11:AJ$333,1)+COUNTIF(AJ$11:AJ60,AJ60)-1),(RANK(AJ60,AJ$11:AJ$333)+COUNTIF(AJ$11:AJ60,AJ60)-1)))</f>
        <v>50</v>
      </c>
      <c r="AL60" s="3">
        <f t="shared" si="16"/>
        <v>50</v>
      </c>
      <c r="AM60" t="str">
        <f t="shared" si="6"/>
        <v>Swindon</v>
      </c>
      <c r="AN60">
        <f t="shared" si="7"/>
        <v>83.333333333333343</v>
      </c>
      <c r="AP60" s="5" t="str">
        <f>IF(L60="","",VLOOKUP($L60,classifications!$C:$E,3,FALSE))</f>
        <v>South West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75</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60</v>
      </c>
      <c r="G61" s="15"/>
      <c r="H61" s="41" t="str">
        <f t="shared" si="1"/>
        <v/>
      </c>
      <c r="I61" s="73" t="str">
        <f>IF(H61="","",IF($I$8="A",(RANK(H61,H$11:H$333,1)+COUNTIF(H$11:H61,H61)-1),(RANK(H61,H$11:H$333)+COUNTIF(H$11:H61,H61)-1)))</f>
        <v/>
      </c>
      <c r="J61" s="40"/>
      <c r="K61" s="35">
        <f t="shared" si="10"/>
        <v>51</v>
      </c>
      <c r="L61" t="str">
        <f t="shared" si="2"/>
        <v>West Northamptonshire</v>
      </c>
      <c r="M61" s="109">
        <f t="shared" si="3"/>
        <v>83.333333333333343</v>
      </c>
      <c r="N61" s="104">
        <f t="shared" si="31"/>
        <v>83.333333333333343</v>
      </c>
      <c r="O61" s="89" t="str">
        <f t="shared" si="32"/>
        <v/>
      </c>
      <c r="P61" s="89" t="str">
        <f t="shared" si="33"/>
        <v/>
      </c>
      <c r="Q61" s="89" t="str">
        <f t="shared" si="34"/>
        <v/>
      </c>
      <c r="R61" s="85">
        <f t="shared" si="35"/>
        <v>83.333333333333343</v>
      </c>
      <c r="S61" s="41" t="str">
        <f t="shared" si="36"/>
        <v/>
      </c>
      <c r="T61" s="166" t="str">
        <f>IF(L61="","",VLOOKUP(L61,classifications!C:K,9,FALSE))</f>
        <v>Sparse</v>
      </c>
      <c r="U61" s="167">
        <f t="shared" si="37"/>
        <v>83.333333333333343</v>
      </c>
      <c r="V61" s="173">
        <f>IF(U61="","",IF($I$8="A",(RANK(U61,U$11:U$333)+COUNTIF(U$11:U61,U61)-1),(RANK(U61,U$11:U$333,1)+COUNTIF(U$11:U61,U61)-1)))</f>
        <v>2</v>
      </c>
      <c r="W61" s="174"/>
      <c r="X61" s="5" t="str">
        <f>IF(L61="","",VLOOKUP($L61,classifications!$C:$J,6,FALSE))</f>
        <v>Urban with Significant Rural</v>
      </c>
      <c r="Y61">
        <f t="shared" si="38"/>
        <v>83.333333333333343</v>
      </c>
      <c r="Z61" s="39">
        <f>IF(Y61="","",IF(I$8="A",(RANK(Y61,Y$11:Y$333,1)+COUNTIF(Y$11:Y61,Y61)-1),(RANK(Y61,Y$11:Y$333)+COUNTIF(Y$11:Y61,Y61)-1)))</f>
        <v>23</v>
      </c>
      <c r="AA61" s="177" t="str">
        <f>IF(L61="","",VLOOKUP($L61,classifications!C:I,7,FALSE))</f>
        <v>Urban with Significant Rural</v>
      </c>
      <c r="AB61" s="173">
        <f t="shared" si="39"/>
        <v>83.333333333333343</v>
      </c>
      <c r="AC61" s="173">
        <f>IF(AB61="","",IF($I$8="A",(RANK(AB61,AB$11:AB$333)+COUNTIF(AB$11:AB61,AB61)-1),(RANK(AB61,AB$11:AB$333,1)+COUNTIF(AB$11:AB61,AB61)-1)))</f>
        <v>3</v>
      </c>
      <c r="AD61" s="173"/>
      <c r="AE61" s="45">
        <f>IF(I$8="A",(RANK(AG61,AG$11:AG$333,1)+COUNTIF(AG$11:AG61,AG61)-1),(RANK(AG61,AG$11:AG$333)+COUNTIF(AG$11:AG61,AG61)-1))</f>
        <v>50</v>
      </c>
      <c r="AF61" t="str">
        <f>VLOOKUP(Profile!$J$5,Families!$C:$R,2,FALSE)</f>
        <v>Cheshire West &amp; Chester</v>
      </c>
      <c r="AG61" s="15">
        <f t="shared" si="15"/>
        <v>100</v>
      </c>
      <c r="AH61" s="46">
        <f t="shared" si="40"/>
        <v>50</v>
      </c>
      <c r="AI61" s="5" t="str">
        <f>IF(L61="","",VLOOKUP($L61,classifications!$C:$J,8,FALSE))</f>
        <v>Unitary</v>
      </c>
      <c r="AJ61" s="42">
        <f t="shared" si="41"/>
        <v>83.333333333333343</v>
      </c>
      <c r="AK61" s="39">
        <f>IF(AJ61="","",IF(I$8="A",(RANK(AJ61,AJ$11:AJ$333,1)+COUNTIF(AJ$11:AJ61,AJ61)-1),(RANK(AJ61,AJ$11:AJ$333)+COUNTIF(AJ$11:AJ61,AJ61)-1)))</f>
        <v>51</v>
      </c>
      <c r="AL61" s="3">
        <f t="shared" si="16"/>
        <v>51</v>
      </c>
      <c r="AM61" t="str">
        <f t="shared" si="6"/>
        <v>West Northamptonshire</v>
      </c>
      <c r="AN61">
        <f t="shared" si="7"/>
        <v>83.333333333333343</v>
      </c>
      <c r="AP61" s="5" t="str">
        <f>IF(L61="","",VLOOKUP($L61,classifications!$C:$E,3,FALSE))</f>
        <v>East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60</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85.714285714285708</v>
      </c>
      <c r="G62" s="15"/>
      <c r="H62" s="41" t="str">
        <f t="shared" si="1"/>
        <v/>
      </c>
      <c r="I62" s="73" t="str">
        <f>IF(H62="","",IF($I$8="A",(RANK(H62,H$11:H$333,1)+COUNTIF(H$11:H62,H62)-1),(RANK(H62,H$11:H$333)+COUNTIF(H$11:H62,H62)-1)))</f>
        <v/>
      </c>
      <c r="J62" s="40"/>
      <c r="K62" s="35">
        <f t="shared" si="10"/>
        <v>52</v>
      </c>
      <c r="L62" t="str">
        <f t="shared" si="2"/>
        <v>Brighton &amp; Hove</v>
      </c>
      <c r="M62" s="109">
        <f t="shared" si="3"/>
        <v>81.818181818181827</v>
      </c>
      <c r="N62" s="104">
        <f t="shared" si="31"/>
        <v>81.818181818181827</v>
      </c>
      <c r="O62" s="89" t="str">
        <f t="shared" si="32"/>
        <v/>
      </c>
      <c r="P62" s="89" t="str">
        <f t="shared" si="33"/>
        <v/>
      </c>
      <c r="Q62" s="89" t="str">
        <f t="shared" si="34"/>
        <v/>
      </c>
      <c r="R62" s="85">
        <f t="shared" si="35"/>
        <v>81.818181818181827</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IF($D$1="UA",IF(X62="Predominantly Rural ",M62,IF(X62="Predominantly Rural ",M62,IF(X62="Urban with Significant Rural",M62,""))),IF($D$1="SD",IF(X62=$H$3,M62,"")))</f>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51</v>
      </c>
      <c r="AF62" t="str">
        <f>VLOOKUP(Profile!$J$5,Families!$C:$R,2,FALSE)</f>
        <v>Cheshire West &amp; Chester</v>
      </c>
      <c r="AG62" s="15">
        <f t="shared" si="15"/>
        <v>100</v>
      </c>
      <c r="AH62" s="46">
        <f t="shared" si="40"/>
        <v>51</v>
      </c>
      <c r="AI62" s="5" t="str">
        <f>IF(L62="","",VLOOKUP($L62,classifications!$C:$J,8,FALSE))</f>
        <v>Unitary</v>
      </c>
      <c r="AJ62" s="42">
        <f t="shared" si="41"/>
        <v>81.818181818181827</v>
      </c>
      <c r="AK62" s="39">
        <f>IF(AJ62="","",IF(I$8="A",(RANK(AJ62,AJ$11:AJ$333,1)+COUNTIF(AJ$11:AJ62,AJ62)-1),(RANK(AJ62,AJ$11:AJ$333)+COUNTIF(AJ$11:AJ62,AJ62)-1)))</f>
        <v>52</v>
      </c>
      <c r="AL62" s="3">
        <f t="shared" si="16"/>
        <v>52</v>
      </c>
      <c r="AM62" t="str">
        <f t="shared" si="6"/>
        <v>Brighton &amp; Hove</v>
      </c>
      <c r="AN62">
        <f t="shared" si="7"/>
        <v>81.818181818181827</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85.714285714285708</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93.75</v>
      </c>
      <c r="G63" s="15"/>
      <c r="H63" s="41" t="str">
        <f t="shared" si="1"/>
        <v/>
      </c>
      <c r="I63" s="73" t="str">
        <f>IF(H63="","",IF($I$8="A",(RANK(H63,H$11:H$333,1)+COUNTIF(H$11:H63,H63)-1),(RANK(H63,H$11:H$333)+COUNTIF(H$11:H63,H63)-1)))</f>
        <v/>
      </c>
      <c r="J63" s="40"/>
      <c r="K63" s="35">
        <f t="shared" si="10"/>
        <v>53</v>
      </c>
      <c r="L63" t="str">
        <f t="shared" si="2"/>
        <v>Peterborough</v>
      </c>
      <c r="M63" s="109">
        <f t="shared" si="3"/>
        <v>81.25</v>
      </c>
      <c r="N63" s="104">
        <f t="shared" si="31"/>
        <v>81.25</v>
      </c>
      <c r="O63" s="89" t="str">
        <f t="shared" si="32"/>
        <v/>
      </c>
      <c r="P63" s="89" t="str">
        <f t="shared" si="33"/>
        <v/>
      </c>
      <c r="Q63" s="89" t="str">
        <f t="shared" si="34"/>
        <v/>
      </c>
      <c r="R63" s="85">
        <f t="shared" si="35"/>
        <v>81.25</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52</v>
      </c>
      <c r="AF63" t="str">
        <f>VLOOKUP(Profile!$J$5,Families!$C:$R,2,FALSE)</f>
        <v>Cheshire West &amp; Chester</v>
      </c>
      <c r="AG63" s="15">
        <f t="shared" si="15"/>
        <v>100</v>
      </c>
      <c r="AH63" s="46">
        <f t="shared" si="40"/>
        <v>52</v>
      </c>
      <c r="AI63" s="5" t="str">
        <f>IF(L63="","",VLOOKUP($L63,classifications!$C:$J,8,FALSE))</f>
        <v>Unitary</v>
      </c>
      <c r="AJ63" s="42">
        <f t="shared" si="41"/>
        <v>81.25</v>
      </c>
      <c r="AK63" s="39">
        <f>IF(AJ63="","",IF(I$8="A",(RANK(AJ63,AJ$11:AJ$333,1)+COUNTIF(AJ$11:AJ63,AJ63)-1),(RANK(AJ63,AJ$11:AJ$333)+COUNTIF(AJ$11:AJ63,AJ63)-1)))</f>
        <v>53</v>
      </c>
      <c r="AL63" s="3">
        <f t="shared" si="16"/>
        <v>53</v>
      </c>
      <c r="AM63" t="str">
        <f t="shared" si="6"/>
        <v>Peterborough</v>
      </c>
      <c r="AN63">
        <f t="shared" si="7"/>
        <v>81.25</v>
      </c>
      <c r="AP63" s="5" t="str">
        <f>IF(L63="","",VLOOKUP($L63,classifications!$C:$E,3,FALSE))</f>
        <v>East of England</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93.75</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91.666666666666657</v>
      </c>
      <c r="G64" s="15"/>
      <c r="H64" s="41">
        <f t="shared" si="1"/>
        <v>91.666666666666657</v>
      </c>
      <c r="I64" s="73">
        <f>IF(H64="","",IF($I$8="A",(RANK(H64,H$11:H$333,1)+COUNTIF(H$11:H64,H64)-1),(RANK(H64,H$11:H$333)+COUNTIF(H$11:H64,H64)-1)))</f>
        <v>38</v>
      </c>
      <c r="J64" s="40"/>
      <c r="K64" s="35">
        <f t="shared" si="10"/>
        <v>54</v>
      </c>
      <c r="L64" t="str">
        <f t="shared" si="2"/>
        <v>Blackpool</v>
      </c>
      <c r="M64" s="109">
        <f t="shared" si="3"/>
        <v>80</v>
      </c>
      <c r="N64" s="104">
        <f t="shared" si="31"/>
        <v>80</v>
      </c>
      <c r="O64" s="89" t="str">
        <f t="shared" si="32"/>
        <v/>
      </c>
      <c r="P64" s="89" t="str">
        <f t="shared" si="33"/>
        <v/>
      </c>
      <c r="Q64" s="89" t="str">
        <f t="shared" si="34"/>
        <v/>
      </c>
      <c r="R64" s="85">
        <f t="shared" si="35"/>
        <v>80</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f>IF(I$8="A",(RANK(AG64,AG$11:AG$333,1)+COUNTIF(AG$11:AG64,AG64)-1),(RANK(AG64,AG$11:AG$333)+COUNTIF(AG$11:AG64,AG64)-1))</f>
        <v>53</v>
      </c>
      <c r="AF64" t="str">
        <f>VLOOKUP(Profile!$J$5,Families!$C:$R,2,FALSE)</f>
        <v>Cheshire West &amp; Chester</v>
      </c>
      <c r="AG64" s="15">
        <f t="shared" si="15"/>
        <v>100</v>
      </c>
      <c r="AH64" s="46">
        <f t="shared" si="40"/>
        <v>53</v>
      </c>
      <c r="AI64" s="5" t="str">
        <f>IF(L64="","",VLOOKUP($L64,classifications!$C:$J,8,FALSE))</f>
        <v>Unitary</v>
      </c>
      <c r="AJ64" s="42">
        <f t="shared" si="41"/>
        <v>80</v>
      </c>
      <c r="AK64" s="39">
        <f>IF(AJ64="","",IF(I$8="A",(RANK(AJ64,AJ$11:AJ$333,1)+COUNTIF(AJ$11:AJ64,AJ64)-1),(RANK(AJ64,AJ$11:AJ$333)+COUNTIF(AJ$11:AJ64,AJ64)-1)))</f>
        <v>54</v>
      </c>
      <c r="AL64" s="3">
        <f t="shared" si="16"/>
        <v>54</v>
      </c>
      <c r="AM64" t="str">
        <f t="shared" si="6"/>
        <v>Blackpool</v>
      </c>
      <c r="AN64">
        <f t="shared" si="7"/>
        <v>80</v>
      </c>
      <c r="AP64" s="5" t="str">
        <f>IF(L64="","",VLOOKUP($L64,classifications!$C:$E,3,FALSE))</f>
        <v>North West</v>
      </c>
      <c r="AQ64" s="42">
        <f t="shared" si="42"/>
        <v>80</v>
      </c>
      <c r="AR64" s="39">
        <f>IF(AQ64="","",IF(I$8="A",(RANK(AQ64,AQ$11:AQ$333,1)+COUNTIF(AQ$11:AQ64,AQ64)-1),(RANK(AQ64,AQ$11:AQ$333)+COUNTIF(AQ$11:AQ64,AQ64)-1)))</f>
        <v>7</v>
      </c>
      <c r="AS64" s="3" t="str">
        <f t="shared" si="18"/>
        <v/>
      </c>
      <c r="AT64" s="39" t="str">
        <f t="shared" si="8"/>
        <v/>
      </c>
      <c r="AU64" s="42" t="str">
        <f t="shared" si="9"/>
        <v/>
      </c>
      <c r="AX64">
        <f>HLOOKUP($AX$9&amp;$AX$10,Data!$A$1:$ZT$1975,(MATCH($C64,Data!$A$1:$A$1975,0)),FALSE)</f>
        <v>91.666666666666657</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100</v>
      </c>
      <c r="G65" s="15"/>
      <c r="H65" s="41">
        <f t="shared" si="1"/>
        <v>100</v>
      </c>
      <c r="I65" s="73">
        <f>IF(H65="","",IF($I$8="A",(RANK(H65,H$11:H$333,1)+COUNTIF(H$11:H65,H65)-1),(RANK(H65,H$11:H$333)+COUNTIF(H$11:H65,H65)-1)))</f>
        <v>5</v>
      </c>
      <c r="J65" s="40"/>
      <c r="K65" s="35">
        <f t="shared" si="10"/>
        <v>55</v>
      </c>
      <c r="L65" t="str">
        <f t="shared" si="2"/>
        <v>Halton</v>
      </c>
      <c r="M65" s="109">
        <f t="shared" si="3"/>
        <v>80</v>
      </c>
      <c r="N65" s="104">
        <f t="shared" si="31"/>
        <v>80</v>
      </c>
      <c r="O65" s="89" t="str">
        <f t="shared" si="32"/>
        <v/>
      </c>
      <c r="P65" s="89" t="str">
        <f t="shared" si="33"/>
        <v/>
      </c>
      <c r="Q65" s="89" t="str">
        <f t="shared" si="34"/>
        <v/>
      </c>
      <c r="R65" s="85">
        <f t="shared" si="35"/>
        <v>80</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54</v>
      </c>
      <c r="AF65" t="str">
        <f>VLOOKUP(Profile!$J$5,Families!$C:$R,2,FALSE)</f>
        <v>Cheshire West &amp; Chester</v>
      </c>
      <c r="AG65" s="15">
        <f t="shared" si="15"/>
        <v>100</v>
      </c>
      <c r="AH65" s="46">
        <f t="shared" si="40"/>
        <v>54</v>
      </c>
      <c r="AI65" s="5" t="str">
        <f>IF(L65="","",VLOOKUP($L65,classifications!$C:$J,8,FALSE))</f>
        <v>Unitary</v>
      </c>
      <c r="AJ65" s="42">
        <f t="shared" si="41"/>
        <v>80</v>
      </c>
      <c r="AK65" s="39">
        <f>IF(AJ65="","",IF(I$8="A",(RANK(AJ65,AJ$11:AJ$333,1)+COUNTIF(AJ$11:AJ65,AJ65)-1),(RANK(AJ65,AJ$11:AJ$333)+COUNTIF(AJ$11:AJ65,AJ65)-1)))</f>
        <v>55</v>
      </c>
      <c r="AL65" s="3">
        <f t="shared" si="16"/>
        <v>55</v>
      </c>
      <c r="AM65" t="str">
        <f t="shared" si="6"/>
        <v>Halton</v>
      </c>
      <c r="AN65">
        <f t="shared" si="7"/>
        <v>80</v>
      </c>
      <c r="AP65" s="5" t="str">
        <f>IF(L65="","",VLOOKUP($L65,classifications!$C:$E,3,FALSE))</f>
        <v>North West</v>
      </c>
      <c r="AQ65" s="42">
        <f t="shared" si="42"/>
        <v>80</v>
      </c>
      <c r="AR65" s="39">
        <f>IF(AQ65="","",IF(I$8="A",(RANK(AQ65,AQ$11:AQ$333,1)+COUNTIF(AQ$11:AQ65,AQ65)-1),(RANK(AQ65,AQ$11:AQ$333)+COUNTIF(AQ$11:AQ65,AQ65)-1)))</f>
        <v>8</v>
      </c>
      <c r="AS65" s="3" t="str">
        <f t="shared" si="18"/>
        <v/>
      </c>
      <c r="AT65" s="39" t="str">
        <f t="shared" si="8"/>
        <v/>
      </c>
      <c r="AU65" s="42" t="str">
        <f t="shared" si="9"/>
        <v/>
      </c>
      <c r="AX65">
        <f>HLOOKUP($AX$9&amp;$AX$10,Data!$A$1:$ZT$1975,(MATCH($C65,Data!$A$1:$A$1975,0)),FALSE)</f>
        <v>100</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100</v>
      </c>
      <c r="G66" s="15"/>
      <c r="H66" s="41" t="str">
        <f t="shared" si="1"/>
        <v/>
      </c>
      <c r="I66" s="73" t="str">
        <f>IF(H66="","",IF($I$8="A",(RANK(H66,H$11:H$333,1)+COUNTIF(H$11:H66,H66)-1),(RANK(H66,H$11:H$333)+COUNTIF(H$11:H66,H66)-1)))</f>
        <v/>
      </c>
      <c r="J66" s="40"/>
      <c r="K66" s="35">
        <f t="shared" si="10"/>
        <v>56</v>
      </c>
      <c r="L66" t="str">
        <f t="shared" si="2"/>
        <v>South Gloucestershire</v>
      </c>
      <c r="M66" s="109">
        <f t="shared" si="3"/>
        <v>80</v>
      </c>
      <c r="N66" s="104">
        <f t="shared" si="31"/>
        <v>80</v>
      </c>
      <c r="O66" s="89" t="str">
        <f t="shared" si="32"/>
        <v/>
      </c>
      <c r="P66" s="89" t="str">
        <f t="shared" si="33"/>
        <v/>
      </c>
      <c r="Q66" s="89" t="str">
        <f t="shared" si="34"/>
        <v/>
      </c>
      <c r="R66" s="85">
        <f t="shared" si="35"/>
        <v>80</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55</v>
      </c>
      <c r="AF66" t="str">
        <f>VLOOKUP(Profile!$J$5,Families!$C:$R,2,FALSE)</f>
        <v>Cheshire West &amp; Chester</v>
      </c>
      <c r="AG66" s="15">
        <f t="shared" si="15"/>
        <v>100</v>
      </c>
      <c r="AH66" s="46">
        <f t="shared" si="40"/>
        <v>55</v>
      </c>
      <c r="AI66" s="5" t="str">
        <f>IF(L66="","",VLOOKUP($L66,classifications!$C:$J,8,FALSE))</f>
        <v>Unitary</v>
      </c>
      <c r="AJ66" s="42">
        <f t="shared" si="41"/>
        <v>80</v>
      </c>
      <c r="AK66" s="39">
        <f>IF(AJ66="","",IF(I$8="A",(RANK(AJ66,AJ$11:AJ$333,1)+COUNTIF(AJ$11:AJ66,AJ66)-1),(RANK(AJ66,AJ$11:AJ$333)+COUNTIF(AJ$11:AJ66,AJ66)-1)))</f>
        <v>56</v>
      </c>
      <c r="AL66" s="3">
        <f t="shared" si="16"/>
        <v>56</v>
      </c>
      <c r="AM66" t="str">
        <f t="shared" si="6"/>
        <v>South Gloucestershire</v>
      </c>
      <c r="AN66">
        <f t="shared" si="7"/>
        <v>80</v>
      </c>
      <c r="AP66" s="5" t="str">
        <f>IF(L66="","",VLOOKUP($L66,classifications!$C:$E,3,FALSE))</f>
        <v>South West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100</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80</v>
      </c>
      <c r="G67" s="15"/>
      <c r="H67" s="41" t="str">
        <f t="shared" si="1"/>
        <v/>
      </c>
      <c r="I67" s="73" t="str">
        <f>IF(H67="","",IF($I$8="A",(RANK(H67,H$11:H$333,1)+COUNTIF(H$11:H67,H67)-1),(RANK(H67,H$11:H$333)+COUNTIF(H$11:H67,H67)-1)))</f>
        <v/>
      </c>
      <c r="J67" s="40"/>
      <c r="K67" s="35">
        <f t="shared" si="10"/>
        <v>57</v>
      </c>
      <c r="L67" t="str">
        <f t="shared" si="2"/>
        <v>Windsor &amp; Maidenhead</v>
      </c>
      <c r="M67" s="109">
        <f t="shared" si="3"/>
        <v>77.777777777777786</v>
      </c>
      <c r="N67" s="104">
        <f t="shared" si="31"/>
        <v>77.777777777777786</v>
      </c>
      <c r="O67" s="89" t="str">
        <f t="shared" si="32"/>
        <v/>
      </c>
      <c r="P67" s="89" t="str">
        <f t="shared" si="33"/>
        <v/>
      </c>
      <c r="Q67" s="89" t="str">
        <f t="shared" si="34"/>
        <v/>
      </c>
      <c r="R67" s="85">
        <f t="shared" si="35"/>
        <v>77.777777777777786</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56</v>
      </c>
      <c r="AF67" t="str">
        <f>VLOOKUP(Profile!$J$5,Families!$C:$R,2,FALSE)</f>
        <v>Cheshire West &amp; Chester</v>
      </c>
      <c r="AG67" s="15">
        <f t="shared" si="15"/>
        <v>100</v>
      </c>
      <c r="AH67" s="46">
        <f t="shared" si="40"/>
        <v>56</v>
      </c>
      <c r="AI67" s="5" t="str">
        <f>IF(L67="","",VLOOKUP($L67,classifications!$C:$J,8,FALSE))</f>
        <v>Unitary</v>
      </c>
      <c r="AJ67" s="42">
        <f t="shared" si="41"/>
        <v>77.777777777777786</v>
      </c>
      <c r="AK67" s="39">
        <f>IF(AJ67="","",IF(I$8="A",(RANK(AJ67,AJ$11:AJ$333,1)+COUNTIF(AJ$11:AJ67,AJ67)-1),(RANK(AJ67,AJ$11:AJ$333)+COUNTIF(AJ$11:AJ67,AJ67)-1)))</f>
        <v>57</v>
      </c>
      <c r="AL67" s="3">
        <f t="shared" si="16"/>
        <v>57</v>
      </c>
      <c r="AM67" t="str">
        <f t="shared" si="6"/>
        <v>Windsor &amp; Maidenhead</v>
      </c>
      <c r="AN67">
        <f t="shared" si="7"/>
        <v>77.777777777777786</v>
      </c>
      <c r="AP67" s="5" t="str">
        <f>IF(L67="","",VLOOKUP($L67,classifications!$C:$E,3,FALSE))</f>
        <v>South East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80</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100</v>
      </c>
      <c r="G68" s="15"/>
      <c r="H68" s="41" t="str">
        <f t="shared" si="1"/>
        <v/>
      </c>
      <c r="I68" s="73" t="str">
        <f>IF(H68="","",IF($I$8="A",(RANK(H68,H$11:H$333,1)+COUNTIF(H$11:H68,H68)-1),(RANK(H68,H$11:H$333)+COUNTIF(H$11:H68,H68)-1)))</f>
        <v/>
      </c>
      <c r="J68" s="40"/>
      <c r="K68" s="35">
        <f t="shared" si="10"/>
        <v>58</v>
      </c>
      <c r="L68" t="str">
        <f t="shared" si="2"/>
        <v>North Northamptonshire</v>
      </c>
      <c r="M68" s="109">
        <f t="shared" si="3"/>
        <v>76.923076923076934</v>
      </c>
      <c r="N68" s="104">
        <f t="shared" si="31"/>
        <v>76.923076923076934</v>
      </c>
      <c r="O68" s="89" t="str">
        <f t="shared" si="32"/>
        <v/>
      </c>
      <c r="P68" s="89" t="str">
        <f t="shared" si="33"/>
        <v/>
      </c>
      <c r="Q68" s="89" t="str">
        <f t="shared" si="34"/>
        <v/>
      </c>
      <c r="R68" s="85">
        <f t="shared" si="35"/>
        <v>76.923076923076934</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Urban with Significant Rural</v>
      </c>
      <c r="Y68">
        <f t="shared" si="38"/>
        <v>76.923076923076934</v>
      </c>
      <c r="Z68" s="39">
        <f>IF(Y68="","",IF(I$8="A",(RANK(Y68,Y$11:Y$333,1)+COUNTIF(Y$11:Y68,Y68)-1),(RANK(Y68,Y$11:Y$333)+COUNTIF(Y$11:Y68,Y68)-1)))</f>
        <v>24</v>
      </c>
      <c r="AA68" s="177" t="str">
        <f>IF(L68="","",VLOOKUP($L68,classifications!C:I,7,FALSE))</f>
        <v>Urban with Significant Rural</v>
      </c>
      <c r="AB68" s="173">
        <f t="shared" si="39"/>
        <v>76.923076923076934</v>
      </c>
      <c r="AC68" s="173">
        <f>IF(AB68="","",IF($I$8="A",(RANK(AB68,AB$11:AB$333)+COUNTIF(AB$11:AB68,AB68)-1),(RANK(AB68,AB$11:AB$333,1)+COUNTIF(AB$11:AB68,AB68)-1)))</f>
        <v>1</v>
      </c>
      <c r="AD68" s="173"/>
      <c r="AE68" s="45">
        <f>IF(I$8="A",(RANK(AG68,AG$11:AG$333,1)+COUNTIF(AG$11:AG68,AG68)-1),(RANK(AG68,AG$11:AG$333)+COUNTIF(AG$11:AG68,AG68)-1))</f>
        <v>57</v>
      </c>
      <c r="AF68" t="str">
        <f>VLOOKUP(Profile!$J$5,Families!$C:$R,2,FALSE)</f>
        <v>Cheshire West &amp; Chester</v>
      </c>
      <c r="AG68" s="15">
        <f t="shared" si="15"/>
        <v>100</v>
      </c>
      <c r="AH68" s="46">
        <f t="shared" si="40"/>
        <v>57</v>
      </c>
      <c r="AI68" s="5" t="str">
        <f>IF(L68="","",VLOOKUP($L68,classifications!$C:$J,8,FALSE))</f>
        <v>Unitary</v>
      </c>
      <c r="AJ68" s="42">
        <f t="shared" si="41"/>
        <v>76.923076923076934</v>
      </c>
      <c r="AK68" s="39">
        <f>IF(AJ68="","",IF(I$8="A",(RANK(AJ68,AJ$11:AJ$333,1)+COUNTIF(AJ$11:AJ68,AJ68)-1),(RANK(AJ68,AJ$11:AJ$333)+COUNTIF(AJ$11:AJ68,AJ68)-1)))</f>
        <v>58</v>
      </c>
      <c r="AL68" s="3">
        <f t="shared" si="16"/>
        <v>58</v>
      </c>
      <c r="AM68" t="str">
        <f t="shared" si="6"/>
        <v>North Northamptonshire</v>
      </c>
      <c r="AN68">
        <f t="shared" si="7"/>
        <v>76.923076923076934</v>
      </c>
      <c r="AP68" s="5" t="str">
        <f>IF(L68="","",VLOOKUP($L68,classifications!$C:$E,3,FALSE))</f>
        <v>East Midlands</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100</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Reading</v>
      </c>
      <c r="M69" s="109">
        <f t="shared" si="3"/>
        <v>75</v>
      </c>
      <c r="N69" s="104">
        <f t="shared" si="31"/>
        <v>75</v>
      </c>
      <c r="O69" s="89" t="str">
        <f t="shared" si="32"/>
        <v/>
      </c>
      <c r="P69" s="89" t="str">
        <f t="shared" si="33"/>
        <v/>
      </c>
      <c r="Q69" s="89" t="str">
        <f t="shared" si="34"/>
        <v/>
      </c>
      <c r="R69" s="85">
        <f t="shared" si="35"/>
        <v>75</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f>IF(I$8="A",(RANK(AG69,AG$11:AG$333,1)+COUNTIF(AG$11:AG69,AG69)-1),(RANK(AG69,AG$11:AG$333)+COUNTIF(AG$11:AG69,AG69)-1))</f>
        <v>58</v>
      </c>
      <c r="AF69" t="str">
        <f>VLOOKUP(Profile!$J$5,Families!$C:$R,2,FALSE)</f>
        <v>Cheshire West &amp; Chester</v>
      </c>
      <c r="AG69" s="15">
        <f t="shared" si="15"/>
        <v>100</v>
      </c>
      <c r="AH69" s="46">
        <f t="shared" si="40"/>
        <v>58</v>
      </c>
      <c r="AI69" s="5" t="str">
        <f>IF(L69="","",VLOOKUP($L69,classifications!$C:$J,8,FALSE))</f>
        <v>Unitary</v>
      </c>
      <c r="AJ69" s="42">
        <f t="shared" si="41"/>
        <v>75</v>
      </c>
      <c r="AK69" s="39">
        <f>IF(AJ69="","",IF(I$8="A",(RANK(AJ69,AJ$11:AJ$333,1)+COUNTIF(AJ$11:AJ69,AJ69)-1),(RANK(AJ69,AJ$11:AJ$333)+COUNTIF(AJ$11:AJ69,AJ69)-1)))</f>
        <v>59</v>
      </c>
      <c r="AL69" s="3">
        <f t="shared" si="16"/>
        <v>59</v>
      </c>
      <c r="AM69" t="str">
        <f t="shared" si="6"/>
        <v>Reading</v>
      </c>
      <c r="AN69">
        <f t="shared" si="7"/>
        <v>75</v>
      </c>
      <c r="AP69" s="5" t="str">
        <f>IF(L69="","",VLOOKUP($L69,classifications!$C:$E,3,FALSE))</f>
        <v>South East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Torbay</v>
      </c>
      <c r="M70" s="109">
        <f t="shared" si="3"/>
        <v>75</v>
      </c>
      <c r="N70" s="104">
        <f t="shared" si="31"/>
        <v>75</v>
      </c>
      <c r="O70" s="89" t="str">
        <f t="shared" si="32"/>
        <v/>
      </c>
      <c r="P70" s="89" t="str">
        <f t="shared" si="33"/>
        <v/>
      </c>
      <c r="Q70" s="89" t="str">
        <f t="shared" si="34"/>
        <v/>
      </c>
      <c r="R70" s="85">
        <f t="shared" si="35"/>
        <v>75</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59</v>
      </c>
      <c r="AF70" t="str">
        <f>VLOOKUP(Profile!$J$5,Families!$C:$R,2,FALSE)</f>
        <v>Cheshire West &amp; Chester</v>
      </c>
      <c r="AG70" s="15">
        <f t="shared" si="15"/>
        <v>100</v>
      </c>
      <c r="AH70" s="46">
        <f t="shared" si="40"/>
        <v>59</v>
      </c>
      <c r="AI70" s="5" t="str">
        <f>IF(L70="","",VLOOKUP($L70,classifications!$C:$J,8,FALSE))</f>
        <v>Unitary</v>
      </c>
      <c r="AJ70" s="42">
        <f t="shared" si="41"/>
        <v>75</v>
      </c>
      <c r="AK70" s="39">
        <f>IF(AJ70="","",IF(I$8="A",(RANK(AJ70,AJ$11:AJ$333,1)+COUNTIF(AJ$11:AJ70,AJ70)-1),(RANK(AJ70,AJ$11:AJ$333)+COUNTIF(AJ$11:AJ70,AJ70)-1)))</f>
        <v>60</v>
      </c>
      <c r="AL70" s="3">
        <f t="shared" si="16"/>
        <v>60</v>
      </c>
      <c r="AM70" t="str">
        <f t="shared" si="6"/>
        <v>Torbay</v>
      </c>
      <c r="AN70">
        <f t="shared" si="7"/>
        <v>75</v>
      </c>
      <c r="AP70" s="5" t="str">
        <f>IF(L70="","",VLOOKUP($L70,classifications!$C:$E,3,FALSE))</f>
        <v>South West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100</v>
      </c>
      <c r="G71" s="15"/>
      <c r="H71" s="41">
        <f t="shared" si="1"/>
        <v>100</v>
      </c>
      <c r="I71" s="73">
        <f>IF(H71="","",IF($I$8="A",(RANK(H71,H$11:H$333,1)+COUNTIF(H$11:H71,H71)-1),(RANK(H71,H$11:H$333)+COUNTIF(H$11:H71,H71)-1)))</f>
        <v>6</v>
      </c>
      <c r="J71" s="40"/>
      <c r="K71" s="35">
        <f t="shared" si="10"/>
        <v>61</v>
      </c>
      <c r="L71" t="str">
        <f t="shared" si="2"/>
        <v>Somerset</v>
      </c>
      <c r="M71" s="109">
        <f t="shared" si="3"/>
        <v>66.666666666666657</v>
      </c>
      <c r="N71" s="104">
        <f t="shared" si="31"/>
        <v>66.666666666666657</v>
      </c>
      <c r="O71" s="89" t="str">
        <f t="shared" si="32"/>
        <v/>
      </c>
      <c r="P71" s="89" t="str">
        <f t="shared" si="33"/>
        <v/>
      </c>
      <c r="Q71" s="89" t="str">
        <f t="shared" si="34"/>
        <v/>
      </c>
      <c r="R71" s="85">
        <f t="shared" si="35"/>
        <v>66.666666666666657</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 xml:space="preserve">Predominantly Rural </v>
      </c>
      <c r="Y71">
        <f t="shared" si="38"/>
        <v>66.666666666666657</v>
      </c>
      <c r="Z71" s="39">
        <f>IF(Y71="","",IF(I$8="A",(RANK(Y71,Y$11:Y$333,1)+COUNTIF(Y$11:Y71,Y71)-1),(RANK(Y71,Y$11:Y$333)+COUNTIF(Y$11:Y71,Y71)-1)))</f>
        <v>25</v>
      </c>
      <c r="AA71" s="177" t="str">
        <f>IF(L71="","",VLOOKUP($L71,classifications!C:I,7,FALSE))</f>
        <v>Predominantly Rural</v>
      </c>
      <c r="AB71" s="173" t="str">
        <f t="shared" si="39"/>
        <v/>
      </c>
      <c r="AC71" s="173" t="str">
        <f>IF(AB71="","",IF($I$8="A",(RANK(AB71,AB$11:AB$333)+COUNTIF(AB$11:AB71,AB71)-1),(RANK(AB71,AB$11:AB$333,1)+COUNTIF(AB$11:AB71,AB71)-1)))</f>
        <v/>
      </c>
      <c r="AD71" s="173"/>
      <c r="AE71" s="45">
        <f>IF(I$8="A",(RANK(AG71,AG$11:AG$333,1)+COUNTIF(AG$11:AG71,AG71)-1),(RANK(AG71,AG$11:AG$333)+COUNTIF(AG$11:AG71,AG71)-1))</f>
        <v>60</v>
      </c>
      <c r="AF71" t="str">
        <f>VLOOKUP(Profile!$J$5,Families!$C:$R,2,FALSE)</f>
        <v>Cheshire West &amp; Chester</v>
      </c>
      <c r="AG71" s="15">
        <f t="shared" si="15"/>
        <v>100</v>
      </c>
      <c r="AH71" s="46">
        <f t="shared" si="40"/>
        <v>60</v>
      </c>
      <c r="AI71" s="5" t="str">
        <f>IF(L71="","",VLOOKUP($L71,classifications!$C:$J,8,FALSE))</f>
        <v>Unitary</v>
      </c>
      <c r="AJ71" s="42">
        <f t="shared" si="41"/>
        <v>66.666666666666657</v>
      </c>
      <c r="AK71" s="39">
        <f>IF(AJ71="","",IF(I$8="A",(RANK(AJ71,AJ$11:AJ$333,1)+COUNTIF(AJ$11:AJ71,AJ71)-1),(RANK(AJ71,AJ$11:AJ$333)+COUNTIF(AJ$11:AJ71,AJ71)-1)))</f>
        <v>61</v>
      </c>
      <c r="AL71" s="3">
        <f t="shared" si="16"/>
        <v>61</v>
      </c>
      <c r="AM71" t="str">
        <f t="shared" si="6"/>
        <v>Somerset</v>
      </c>
      <c r="AN71">
        <f t="shared" si="7"/>
        <v>66.666666666666657</v>
      </c>
      <c r="AP71" s="5" t="str">
        <f>IF(L71="","",VLOOKUP($L71,classifications!$C:$E,3,FALSE))</f>
        <v>South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100</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100</v>
      </c>
      <c r="G72" s="15"/>
      <c r="H72" s="41" t="str">
        <f t="shared" si="1"/>
        <v/>
      </c>
      <c r="I72" s="73" t="str">
        <f>IF(H72="","",IF($I$8="A",(RANK(H72,H$11:H$333,1)+COUNTIF(H$11:H72,H72)-1),(RANK(H72,H$11:H$333)+COUNTIF(H$11:H72,H72)-1)))</f>
        <v/>
      </c>
      <c r="J72" s="40"/>
      <c r="K72" s="35">
        <f t="shared" si="10"/>
        <v>62</v>
      </c>
      <c r="L72" t="str">
        <f t="shared" si="2"/>
        <v>Stockton-on-Tees</v>
      </c>
      <c r="M72" s="109">
        <f t="shared" si="3"/>
        <v>66.666666666666657</v>
      </c>
      <c r="N72" s="104">
        <f t="shared" si="31"/>
        <v>66.666666666666657</v>
      </c>
      <c r="O72" s="89" t="str">
        <f t="shared" si="32"/>
        <v/>
      </c>
      <c r="P72" s="89" t="str">
        <f t="shared" si="33"/>
        <v/>
      </c>
      <c r="Q72" s="89" t="str">
        <f t="shared" si="34"/>
        <v/>
      </c>
      <c r="R72" s="85">
        <f t="shared" si="35"/>
        <v>66.666666666666657</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f>IF(I$8="A",(RANK(AG72,AG$11:AG$333,1)+COUNTIF(AG$11:AG72,AG72)-1),(RANK(AG72,AG$11:AG$333)+COUNTIF(AG$11:AG72,AG72)-1))</f>
        <v>61</v>
      </c>
      <c r="AF72" t="str">
        <f>VLOOKUP(Profile!$J$5,Families!$C:$R,2,FALSE)</f>
        <v>Cheshire West &amp; Chester</v>
      </c>
      <c r="AG72" s="15">
        <f t="shared" si="15"/>
        <v>100</v>
      </c>
      <c r="AH72" s="46">
        <f t="shared" si="40"/>
        <v>61</v>
      </c>
      <c r="AI72" s="5" t="str">
        <f>IF(L72="","",VLOOKUP($L72,classifications!$C:$J,8,FALSE))</f>
        <v>Unitary</v>
      </c>
      <c r="AJ72" s="42">
        <f t="shared" si="41"/>
        <v>66.666666666666657</v>
      </c>
      <c r="AK72" s="39">
        <f>IF(AJ72="","",IF(I$8="A",(RANK(AJ72,AJ$11:AJ$333,1)+COUNTIF(AJ$11:AJ72,AJ72)-1),(RANK(AJ72,AJ$11:AJ$333)+COUNTIF(AJ$11:AJ72,AJ72)-1)))</f>
        <v>62</v>
      </c>
      <c r="AL72" s="3">
        <f t="shared" si="16"/>
        <v>62</v>
      </c>
      <c r="AM72" t="str">
        <f t="shared" si="6"/>
        <v>Stockton-on-Tees</v>
      </c>
      <c r="AN72">
        <f t="shared" si="7"/>
        <v>66.666666666666657</v>
      </c>
      <c r="AP72" s="5" t="str">
        <f>IF(L72="","",VLOOKUP($L72,classifications!$C:$E,3,FALSE))</f>
        <v>NE</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100</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100</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62</v>
      </c>
      <c r="AF73" t="str">
        <f>VLOOKUP(Profile!$J$5,Families!$C:$R,2,FALSE)</f>
        <v>Cheshire West &amp; Chester</v>
      </c>
      <c r="AG73" s="15">
        <f t="shared" si="15"/>
        <v>100</v>
      </c>
      <c r="AH73" s="46">
        <f t="shared" si="40"/>
        <v>62</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100</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100</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63</v>
      </c>
      <c r="AF74" t="str">
        <f>VLOOKUP(Profile!$J$5,Families!$C:$R,2,FALSE)</f>
        <v>Cheshire West &amp; Chester</v>
      </c>
      <c r="AG74" s="15">
        <f t="shared" si="15"/>
        <v>100</v>
      </c>
      <c r="AH74" s="46">
        <f t="shared" si="40"/>
        <v>63</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100</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64</v>
      </c>
      <c r="AF75" t="str">
        <f>VLOOKUP(Profile!$J$5,Families!$C:$R,2,FALSE)</f>
        <v>Cheshire West &amp; Chester</v>
      </c>
      <c r="AG75" s="15">
        <f t="shared" si="15"/>
        <v>100</v>
      </c>
      <c r="AH75" s="46">
        <f t="shared" si="40"/>
        <v>64</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75</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65</v>
      </c>
      <c r="AF76" t="str">
        <f>VLOOKUP(Profile!$J$5,Families!$C:$R,2,FALSE)</f>
        <v>Cheshire West &amp; Chester</v>
      </c>
      <c r="AG76" s="15">
        <f t="shared" ref="AG76:AG139" si="52">VLOOKUP(AF76,$C$11:$H$333,4,FALSE)</f>
        <v>100</v>
      </c>
      <c r="AH76" s="46">
        <f t="shared" si="40"/>
        <v>65</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75</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100</v>
      </c>
      <c r="G77" s="15"/>
      <c r="H77" s="41">
        <f t="shared" si="44"/>
        <v>100</v>
      </c>
      <c r="I77" s="73">
        <f>IF(H77="","",IF($I$8="A",(RANK(H77,H$11:H$333,1)+COUNTIF(H$11:H77,H77)-1),(RANK(H77,H$11:H$333)+COUNTIF(H$11:H77,H77)-1)))</f>
        <v>7</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66</v>
      </c>
      <c r="AF77" t="str">
        <f>VLOOKUP(Profile!$J$5,Families!$C:$R,2,FALSE)</f>
        <v>Cheshire West &amp; Chester</v>
      </c>
      <c r="AG77" s="15">
        <f t="shared" si="52"/>
        <v>100</v>
      </c>
      <c r="AH77" s="46">
        <f t="shared" si="40"/>
        <v>66</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100</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83.333333333333343</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67</v>
      </c>
      <c r="AF78" t="str">
        <f>VLOOKUP(Profile!$J$5,Families!$C:$R,2,FALSE)</f>
        <v>Cheshire West &amp; Chester</v>
      </c>
      <c r="AG78" s="15">
        <f t="shared" si="52"/>
        <v>100</v>
      </c>
      <c r="AH78" s="46">
        <f t="shared" si="40"/>
        <v>67</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83.333333333333343</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91.666666666666657</v>
      </c>
      <c r="G79" s="15"/>
      <c r="H79" s="41">
        <f t="shared" si="44"/>
        <v>91.666666666666657</v>
      </c>
      <c r="I79" s="73">
        <f>IF(H79="","",IF($I$8="A",(RANK(H79,H$11:H$333,1)+COUNTIF(H$11:H79,H79)-1),(RANK(H79,H$11:H$333)+COUNTIF(H$11:H79,H79)-1)))</f>
        <v>39</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68</v>
      </c>
      <c r="AF79" t="str">
        <f>VLOOKUP(Profile!$J$5,Families!$C:$R,2,FALSE)</f>
        <v>Cheshire West &amp; Chester</v>
      </c>
      <c r="AG79" s="15">
        <f t="shared" si="52"/>
        <v>100</v>
      </c>
      <c r="AH79" s="46">
        <f t="shared" si="40"/>
        <v>68</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91.666666666666657</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69</v>
      </c>
      <c r="AF80" t="str">
        <f>VLOOKUP(Profile!$J$5,Families!$C:$R,2,FALSE)</f>
        <v>Cheshire West &amp; Chester</v>
      </c>
      <c r="AG80" s="15">
        <f t="shared" si="52"/>
        <v>100</v>
      </c>
      <c r="AH80" s="46">
        <f t="shared" si="40"/>
        <v>69</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70</v>
      </c>
      <c r="AF81" t="str">
        <f>VLOOKUP(Profile!$J$5,Families!$C:$R,2,FALSE)</f>
        <v>Cheshire West &amp; Chester</v>
      </c>
      <c r="AG81" s="15">
        <f t="shared" si="52"/>
        <v>100</v>
      </c>
      <c r="AH81" s="46">
        <f t="shared" si="40"/>
        <v>70</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71</v>
      </c>
      <c r="AF82" t="str">
        <f>VLOOKUP(Profile!$J$5,Families!$C:$R,2,FALSE)</f>
        <v>Cheshire West &amp; Chester</v>
      </c>
      <c r="AG82" s="15">
        <f t="shared" si="52"/>
        <v>100</v>
      </c>
      <c r="AH82" s="46">
        <f t="shared" si="40"/>
        <v>71</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88.888888888888886</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72</v>
      </c>
      <c r="AF83" t="str">
        <f>VLOOKUP(Profile!$J$5,Families!$C:$R,2,FALSE)</f>
        <v>Cheshire West &amp; Chester</v>
      </c>
      <c r="AG83" s="15">
        <f t="shared" si="52"/>
        <v>100</v>
      </c>
      <c r="AH83" s="46">
        <f t="shared" si="40"/>
        <v>72</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88.888888888888886</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100</v>
      </c>
      <c r="G84" s="15"/>
      <c r="H84" s="41">
        <f t="shared" si="44"/>
        <v>100</v>
      </c>
      <c r="I84" s="73">
        <f>IF(H84="","",IF($I$8="A",(RANK(H84,H$11:H$333,1)+COUNTIF(H$11:H84,H84)-1),(RANK(H84,H$11:H$333)+COUNTIF(H$11:H84,H84)-1)))</f>
        <v>8</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73</v>
      </c>
      <c r="AF84" t="str">
        <f>VLOOKUP(Profile!$J$5,Families!$C:$R,2,FALSE)</f>
        <v>Cheshire West &amp; Chester</v>
      </c>
      <c r="AG84" s="15">
        <f t="shared" si="52"/>
        <v>100</v>
      </c>
      <c r="AH84" s="46">
        <f t="shared" si="40"/>
        <v>73</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100</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100</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74</v>
      </c>
      <c r="AF85" t="str">
        <f>VLOOKUP(Profile!$J$5,Families!$C:$R,2,FALSE)</f>
        <v>Cheshire West &amp; Chester</v>
      </c>
      <c r="AG85" s="15">
        <f t="shared" si="52"/>
        <v>100</v>
      </c>
      <c r="AH85" s="46">
        <f t="shared" si="40"/>
        <v>74</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100</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100</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75</v>
      </c>
      <c r="AF86" t="str">
        <f>VLOOKUP(Profile!$J$5,Families!$C:$R,2,FALSE)</f>
        <v>Cheshire West &amp; Chester</v>
      </c>
      <c r="AG86" s="15">
        <f t="shared" si="52"/>
        <v>100</v>
      </c>
      <c r="AH86" s="46">
        <f t="shared" si="40"/>
        <v>75</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100</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86.666666666666671</v>
      </c>
      <c r="G87" s="15"/>
      <c r="H87" s="41">
        <f t="shared" si="44"/>
        <v>86.666666666666671</v>
      </c>
      <c r="I87" s="73">
        <f>IF(H87="","",IF($I$8="A",(RANK(H87,H$11:H$333,1)+COUNTIF(H$11:H87,H87)-1),(RANK(H87,H$11:H$333)+COUNTIF(H$11:H87,H87)-1)))</f>
        <v>45</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76</v>
      </c>
      <c r="AF87" t="str">
        <f>VLOOKUP(Profile!$J$5,Families!$C:$R,2,FALSE)</f>
        <v>Cheshire West &amp; Chester</v>
      </c>
      <c r="AG87" s="15">
        <f t="shared" si="52"/>
        <v>100</v>
      </c>
      <c r="AH87" s="46">
        <f t="shared" si="40"/>
        <v>76</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86.666666666666671</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77</v>
      </c>
      <c r="AF88" t="str">
        <f>VLOOKUP(Profile!$J$5,Families!$C:$R,2,FALSE)</f>
        <v>Cheshire West &amp; Chester</v>
      </c>
      <c r="AG88" s="15">
        <f t="shared" si="52"/>
        <v>100</v>
      </c>
      <c r="AH88" s="46">
        <f t="shared" si="40"/>
        <v>77</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57.142857142857139</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78</v>
      </c>
      <c r="AF89" t="str">
        <f>VLOOKUP(Profile!$J$5,Families!$C:$R,2,FALSE)</f>
        <v>Cheshire West &amp; Chester</v>
      </c>
      <c r="AG89" s="15">
        <f t="shared" si="52"/>
        <v>100</v>
      </c>
      <c r="AH89" s="46">
        <f t="shared" si="40"/>
        <v>78</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57.142857142857139</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100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79</v>
      </c>
      <c r="AF90" t="str">
        <f>VLOOKUP(Profile!$J$5,Families!$C:$R,2,FALSE)</f>
        <v>Cheshire West &amp; Chester</v>
      </c>
      <c r="AG90" s="15">
        <f t="shared" si="52"/>
        <v>100</v>
      </c>
      <c r="AH90" s="46">
        <f t="shared" si="40"/>
        <v>79</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100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75</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80</v>
      </c>
      <c r="AF91" t="str">
        <f>VLOOKUP(Profile!$J$5,Families!$C:$R,2,FALSE)</f>
        <v>Cheshire West &amp; Chester</v>
      </c>
      <c r="AG91" s="15">
        <f t="shared" si="52"/>
        <v>100</v>
      </c>
      <c r="AH91" s="46">
        <f t="shared" si="40"/>
        <v>80</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75</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80</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81</v>
      </c>
      <c r="AF92" t="str">
        <f>VLOOKUP(Profile!$J$5,Families!$C:$R,2,FALSE)</f>
        <v>Cheshire West &amp; Chester</v>
      </c>
      <c r="AG92" s="15">
        <f t="shared" si="52"/>
        <v>100</v>
      </c>
      <c r="AH92" s="46">
        <f t="shared" si="40"/>
        <v>81</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80</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94.117647058823522</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82</v>
      </c>
      <c r="AF93" t="str">
        <f>VLOOKUP(Profile!$J$5,Families!$C:$R,2,FALSE)</f>
        <v>Cheshire West &amp; Chester</v>
      </c>
      <c r="AG93" s="15">
        <f t="shared" si="52"/>
        <v>100</v>
      </c>
      <c r="AH93" s="46">
        <f t="shared" si="40"/>
        <v>82</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94.117647058823522</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96.969696969696969</v>
      </c>
      <c r="G94" s="15"/>
      <c r="H94" s="41">
        <f t="shared" si="44"/>
        <v>96.969696969696969</v>
      </c>
      <c r="I94" s="73">
        <f>IF(H94="","",IF($I$8="A",(RANK(H94,H$11:H$333,1)+COUNTIF(H$11:H94,H94)-1),(RANK(H94,H$11:H$333)+COUNTIF(H$11:H94,H94)-1)))</f>
        <v>31</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83</v>
      </c>
      <c r="AF94" t="str">
        <f>VLOOKUP(Profile!$J$5,Families!$C:$R,2,FALSE)</f>
        <v>Cheshire West &amp; Chester</v>
      </c>
      <c r="AG94" s="15">
        <f t="shared" si="52"/>
        <v>100</v>
      </c>
      <c r="AH94" s="46">
        <f t="shared" si="40"/>
        <v>83</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96.969696969696969</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83.333333333333343</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84</v>
      </c>
      <c r="AF95" t="str">
        <f>VLOOKUP(Profile!$J$5,Families!$C:$R,2,FALSE)</f>
        <v>Cheshire West &amp; Chester</v>
      </c>
      <c r="AG95" s="15">
        <f t="shared" si="52"/>
        <v>100</v>
      </c>
      <c r="AH95" s="46">
        <f t="shared" si="40"/>
        <v>84</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83.333333333333343</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95.238095238095227</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85</v>
      </c>
      <c r="AF96" t="str">
        <f>VLOOKUP(Profile!$J$5,Families!$C:$R,2,FALSE)</f>
        <v>Cheshire West &amp; Chester</v>
      </c>
      <c r="AG96" s="15">
        <f t="shared" si="52"/>
        <v>100</v>
      </c>
      <c r="AH96" s="46">
        <f t="shared" si="40"/>
        <v>85</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95.238095238095227</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86</v>
      </c>
      <c r="AF97" t="str">
        <f>VLOOKUP(Profile!$J$5,Families!$C:$R,2,FALSE)</f>
        <v>Cheshire West &amp; Chester</v>
      </c>
      <c r="AG97" s="15">
        <f t="shared" si="52"/>
        <v>100</v>
      </c>
      <c r="AH97" s="46">
        <f t="shared" si="40"/>
        <v>86</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0</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87</v>
      </c>
      <c r="AF98" t="str">
        <f>VLOOKUP(Profile!$J$5,Families!$C:$R,2,FALSE)</f>
        <v>Cheshire West &amp; Chester</v>
      </c>
      <c r="AG98" s="15">
        <f t="shared" si="52"/>
        <v>100</v>
      </c>
      <c r="AH98" s="46">
        <f t="shared" si="40"/>
        <v>87</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0</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75</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88</v>
      </c>
      <c r="AF99" t="str">
        <f>VLOOKUP(Profile!$J$5,Families!$C:$R,2,FALSE)</f>
        <v>Cheshire West &amp; Chester</v>
      </c>
      <c r="AG99" s="15">
        <f t="shared" si="52"/>
        <v>100</v>
      </c>
      <c r="AH99" s="46">
        <f t="shared" si="40"/>
        <v>88</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75</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77.777777777777786</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89</v>
      </c>
      <c r="AF100" t="str">
        <f>VLOOKUP(Profile!$J$5,Families!$C:$R,2,FALSE)</f>
        <v>Cheshire West &amp; Chester</v>
      </c>
      <c r="AG100" s="15">
        <f t="shared" si="52"/>
        <v>100</v>
      </c>
      <c r="AH100" s="46">
        <f t="shared" si="40"/>
        <v>89</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77.777777777777786</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60</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90</v>
      </c>
      <c r="AF101" t="str">
        <f>VLOOKUP(Profile!$J$5,Families!$C:$R,2,FALSE)</f>
        <v>Cheshire West &amp; Chester</v>
      </c>
      <c r="AG101" s="15">
        <f t="shared" si="52"/>
        <v>100</v>
      </c>
      <c r="AH101" s="46">
        <f t="shared" si="40"/>
        <v>90</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60</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91</v>
      </c>
      <c r="AF102" t="str">
        <f>VLOOKUP(Profile!$J$5,Families!$C:$R,2,FALSE)</f>
        <v>Cheshire West &amp; Chester</v>
      </c>
      <c r="AG102" s="15">
        <f t="shared" si="52"/>
        <v>100</v>
      </c>
      <c r="AH102" s="46">
        <f t="shared" si="40"/>
        <v>91</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92</v>
      </c>
      <c r="AF103" t="str">
        <f>VLOOKUP(Profile!$J$5,Families!$C:$R,2,FALSE)</f>
        <v>Cheshire West &amp; Chester</v>
      </c>
      <c r="AG103" s="15">
        <f t="shared" si="52"/>
        <v>100</v>
      </c>
      <c r="AH103" s="46">
        <f t="shared" si="40"/>
        <v>92</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93</v>
      </c>
      <c r="AF104" t="str">
        <f>VLOOKUP(Profile!$J$5,Families!$C:$R,2,FALSE)</f>
        <v>Cheshire West &amp; Chester</v>
      </c>
      <c r="AG104" s="15">
        <f t="shared" si="52"/>
        <v>100</v>
      </c>
      <c r="AH104" s="46">
        <f t="shared" si="40"/>
        <v>93</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94</v>
      </c>
      <c r="AF105" t="str">
        <f>VLOOKUP(Profile!$J$5,Families!$C:$R,2,FALSE)</f>
        <v>Cheshire West &amp; Chester</v>
      </c>
      <c r="AG105" s="15">
        <f t="shared" si="52"/>
        <v>100</v>
      </c>
      <c r="AH105" s="46">
        <f t="shared" si="40"/>
        <v>94</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100</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95</v>
      </c>
      <c r="AF106" t="str">
        <f>VLOOKUP(Profile!$J$5,Families!$C:$R,2,FALSE)</f>
        <v>Cheshire West &amp; Chester</v>
      </c>
      <c r="AG106" s="15">
        <f t="shared" si="52"/>
        <v>100</v>
      </c>
      <c r="AH106" s="46">
        <f t="shared" si="40"/>
        <v>95</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100</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96</v>
      </c>
      <c r="AF107" t="str">
        <f>VLOOKUP(Profile!$J$5,Families!$C:$R,2,FALSE)</f>
        <v>Cheshire West &amp; Chester</v>
      </c>
      <c r="AG107" s="15">
        <f t="shared" si="52"/>
        <v>100</v>
      </c>
      <c r="AH107" s="46">
        <f t="shared" si="40"/>
        <v>96</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100</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97</v>
      </c>
      <c r="AF108" t="str">
        <f>VLOOKUP(Profile!$J$5,Families!$C:$R,2,FALSE)</f>
        <v>Cheshire West &amp; Chester</v>
      </c>
      <c r="AG108" s="15">
        <f t="shared" si="52"/>
        <v>100</v>
      </c>
      <c r="AH108" s="46">
        <f t="shared" si="40"/>
        <v>97</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100</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80</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98</v>
      </c>
      <c r="AF109" t="str">
        <f>VLOOKUP(Profile!$J$5,Families!$C:$R,2,FALSE)</f>
        <v>Cheshire West &amp; Chester</v>
      </c>
      <c r="AG109" s="15">
        <f t="shared" si="52"/>
        <v>100</v>
      </c>
      <c r="AH109" s="46">
        <f t="shared" si="40"/>
        <v>98</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80</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80</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99</v>
      </c>
      <c r="AF110" t="str">
        <f>VLOOKUP(Profile!$J$5,Families!$C:$R,2,FALSE)</f>
        <v>Cheshire West &amp; Chester</v>
      </c>
      <c r="AG110" s="15">
        <f t="shared" si="52"/>
        <v>100</v>
      </c>
      <c r="AH110" s="46">
        <f t="shared" si="40"/>
        <v>99</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80</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88.888888888888886</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100</v>
      </c>
      <c r="AF111" t="str">
        <f>VLOOKUP(Profile!$J$5,Families!$C:$R,2,FALSE)</f>
        <v>Cheshire West &amp; Chester</v>
      </c>
      <c r="AG111" s="15">
        <f t="shared" si="52"/>
        <v>100</v>
      </c>
      <c r="AH111" s="46">
        <f t="shared" si="40"/>
        <v>100</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88.888888888888886</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101</v>
      </c>
      <c r="AF112" t="str">
        <f>VLOOKUP(Profile!$J$5,Families!$C:$R,2,FALSE)</f>
        <v>Cheshire West &amp; Chester</v>
      </c>
      <c r="AG112" s="15">
        <f t="shared" si="52"/>
        <v>100</v>
      </c>
      <c r="AH112" s="46">
        <f t="shared" si="40"/>
        <v>101</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102</v>
      </c>
      <c r="AF113" t="str">
        <f>VLOOKUP(Profile!$J$5,Families!$C:$R,2,FALSE)</f>
        <v>Cheshire West &amp; Chester</v>
      </c>
      <c r="AG113" s="15">
        <f t="shared" si="52"/>
        <v>100</v>
      </c>
      <c r="AH113" s="46">
        <f t="shared" si="40"/>
        <v>102</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103</v>
      </c>
      <c r="AF114" t="str">
        <f>VLOOKUP(Profile!$J$5,Families!$C:$R,2,FALSE)</f>
        <v>Cheshire West &amp; Chester</v>
      </c>
      <c r="AG114" s="15">
        <f t="shared" si="52"/>
        <v>100</v>
      </c>
      <c r="AH114" s="46">
        <f t="shared" si="40"/>
        <v>103</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104</v>
      </c>
      <c r="AF115" t="str">
        <f>VLOOKUP(Profile!$J$5,Families!$C:$R,2,FALSE)</f>
        <v>Cheshire West &amp; Chester</v>
      </c>
      <c r="AG115" s="15">
        <f t="shared" si="52"/>
        <v>100</v>
      </c>
      <c r="AH115" s="46">
        <f t="shared" si="40"/>
        <v>104</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0</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105</v>
      </c>
      <c r="AF116" t="str">
        <f>VLOOKUP(Profile!$J$5,Families!$C:$R,2,FALSE)</f>
        <v>Cheshire West &amp; Chester</v>
      </c>
      <c r="AG116" s="15">
        <f t="shared" si="52"/>
        <v>100</v>
      </c>
      <c r="AH116" s="46">
        <f t="shared" si="40"/>
        <v>105</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0</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0</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106</v>
      </c>
      <c r="AF117" t="str">
        <f>VLOOKUP(Profile!$J$5,Families!$C:$R,2,FALSE)</f>
        <v>Cheshire West &amp; Chester</v>
      </c>
      <c r="AG117" s="15">
        <f t="shared" si="52"/>
        <v>100</v>
      </c>
      <c r="AH117" s="46">
        <f t="shared" si="40"/>
        <v>106</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0</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107</v>
      </c>
      <c r="AF118" t="str">
        <f>VLOOKUP(Profile!$J$5,Families!$C:$R,2,FALSE)</f>
        <v>Cheshire West &amp; Chester</v>
      </c>
      <c r="AG118" s="15">
        <f t="shared" si="52"/>
        <v>100</v>
      </c>
      <c r="AH118" s="46">
        <f t="shared" si="40"/>
        <v>107</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108</v>
      </c>
      <c r="AF119" t="str">
        <f>VLOOKUP(Profile!$J$5,Families!$C:$R,2,FALSE)</f>
        <v>Cheshire West &amp; Chester</v>
      </c>
      <c r="AG119" s="15">
        <f t="shared" si="52"/>
        <v>100</v>
      </c>
      <c r="AH119" s="46">
        <f t="shared" si="40"/>
        <v>108</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66.666666666666657</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109</v>
      </c>
      <c r="AF120" t="str">
        <f>VLOOKUP(Profile!$J$5,Families!$C:$R,2,FALSE)</f>
        <v>Cheshire West &amp; Chester</v>
      </c>
      <c r="AG120" s="15">
        <f t="shared" si="52"/>
        <v>100</v>
      </c>
      <c r="AH120" s="46">
        <f t="shared" si="40"/>
        <v>109</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66.666666666666657</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110</v>
      </c>
      <c r="AF121" t="str">
        <f>VLOOKUP(Profile!$J$5,Families!$C:$R,2,FALSE)</f>
        <v>Cheshire West &amp; Chester</v>
      </c>
      <c r="AG121" s="15">
        <f t="shared" si="52"/>
        <v>100</v>
      </c>
      <c r="AH121" s="46">
        <f t="shared" si="40"/>
        <v>110</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f t="shared" si="44"/>
        <v>80</v>
      </c>
      <c r="I122" s="73">
        <f>IF(H122="","",IF($I$8="A",(RANK(H122,H$11:H$333,1)+COUNTIF(H$11:H122,H122)-1),(RANK(H122,H$11:H$333)+COUNTIF(H$11:H122,H122)-1)))</f>
        <v>55</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111</v>
      </c>
      <c r="AF122" t="str">
        <f>VLOOKUP(Profile!$J$5,Families!$C:$R,2,FALSE)</f>
        <v>Cheshire West &amp; Chester</v>
      </c>
      <c r="AG122" s="15">
        <f t="shared" si="52"/>
        <v>100</v>
      </c>
      <c r="AH122" s="46">
        <f t="shared" ref="AH122:AH185" si="64">AE122</f>
        <v>111</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80</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112</v>
      </c>
      <c r="AF123" t="str">
        <f>VLOOKUP(Profile!$J$5,Families!$C:$R,2,FALSE)</f>
        <v>Cheshire West &amp; Chester</v>
      </c>
      <c r="AG123" s="15">
        <f t="shared" si="52"/>
        <v>100</v>
      </c>
      <c r="AH123" s="46">
        <f t="shared" si="64"/>
        <v>112</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113</v>
      </c>
      <c r="AF124" t="str">
        <f>VLOOKUP(Profile!$J$5,Families!$C:$R,2,FALSE)</f>
        <v>Cheshire West &amp; Chester</v>
      </c>
      <c r="AG124" s="15">
        <f t="shared" si="52"/>
        <v>100</v>
      </c>
      <c r="AH124" s="46">
        <f t="shared" si="64"/>
        <v>113</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90</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114</v>
      </c>
      <c r="AF125" t="str">
        <f>VLOOKUP(Profile!$J$5,Families!$C:$R,2,FALSE)</f>
        <v>Cheshire West &amp; Chester</v>
      </c>
      <c r="AG125" s="15">
        <f t="shared" si="52"/>
        <v>100</v>
      </c>
      <c r="AH125" s="46">
        <f t="shared" si="64"/>
        <v>114</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90</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115</v>
      </c>
      <c r="AF126" t="str">
        <f>VLOOKUP(Profile!$J$5,Families!$C:$R,2,FALSE)</f>
        <v>Cheshire West &amp; Chester</v>
      </c>
      <c r="AG126" s="15">
        <f t="shared" si="52"/>
        <v>100</v>
      </c>
      <c r="AH126" s="46">
        <f t="shared" si="64"/>
        <v>115</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60</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116</v>
      </c>
      <c r="AF127" t="str">
        <f>VLOOKUP(Profile!$J$5,Families!$C:$R,2,FALSE)</f>
        <v>Cheshire West &amp; Chester</v>
      </c>
      <c r="AG127" s="15">
        <f t="shared" si="52"/>
        <v>100</v>
      </c>
      <c r="AH127" s="46">
        <f t="shared" si="64"/>
        <v>116</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60</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117</v>
      </c>
      <c r="AF128" t="str">
        <f>VLOOKUP(Profile!$J$5,Families!$C:$R,2,FALSE)</f>
        <v>Cheshire West &amp; Chester</v>
      </c>
      <c r="AG128" s="15">
        <f t="shared" si="52"/>
        <v>100</v>
      </c>
      <c r="AH128" s="46">
        <f t="shared" si="64"/>
        <v>117</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100</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87.5</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118</v>
      </c>
      <c r="AF129" t="str">
        <f>VLOOKUP(Profile!$J$5,Families!$C:$R,2,FALSE)</f>
        <v>Cheshire West &amp; Chester</v>
      </c>
      <c r="AG129" s="15">
        <f t="shared" si="52"/>
        <v>100</v>
      </c>
      <c r="AH129" s="46">
        <f t="shared" si="64"/>
        <v>118</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87.5</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9</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119</v>
      </c>
      <c r="AF130" t="str">
        <f>VLOOKUP(Profile!$J$5,Families!$C:$R,2,FALSE)</f>
        <v>Cheshire West &amp; Chester</v>
      </c>
      <c r="AG130" s="15">
        <f t="shared" si="52"/>
        <v>100</v>
      </c>
      <c r="AH130" s="46">
        <f t="shared" si="64"/>
        <v>119</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100</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120</v>
      </c>
      <c r="AF131" t="str">
        <f>VLOOKUP(Profile!$J$5,Families!$C:$R,2,FALSE)</f>
        <v>Cheshire West &amp; Chester</v>
      </c>
      <c r="AG131" s="15">
        <f t="shared" si="52"/>
        <v>100</v>
      </c>
      <c r="AH131" s="46">
        <f t="shared" si="64"/>
        <v>120</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100</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0</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121</v>
      </c>
      <c r="AF132" t="str">
        <f>VLOOKUP(Profile!$J$5,Families!$C:$R,2,FALSE)</f>
        <v>Cheshire West &amp; Chester</v>
      </c>
      <c r="AG132" s="15">
        <f t="shared" si="52"/>
        <v>100</v>
      </c>
      <c r="AH132" s="46">
        <f t="shared" si="64"/>
        <v>121</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0</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87.5</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122</v>
      </c>
      <c r="AF133" t="str">
        <f>VLOOKUP(Profile!$J$5,Families!$C:$R,2,FALSE)</f>
        <v>Cheshire West &amp; Chester</v>
      </c>
      <c r="AG133" s="15">
        <f t="shared" si="52"/>
        <v>100</v>
      </c>
      <c r="AH133" s="46">
        <f t="shared" si="64"/>
        <v>122</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87.5</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100</v>
      </c>
      <c r="G134" s="15"/>
      <c r="H134" s="41">
        <f t="shared" si="44"/>
        <v>100</v>
      </c>
      <c r="I134" s="73">
        <f>IF(H134="","",IF($I$8="A",(RANK(H134,H$11:H$333,1)+COUNTIF(H$11:H134,H134)-1),(RANK(H134,H$11:H$333)+COUNTIF(H$11:H134,H134)-1)))</f>
        <v>10</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123</v>
      </c>
      <c r="AF134" t="str">
        <f>VLOOKUP(Profile!$J$5,Families!$C:$R,2,FALSE)</f>
        <v>Cheshire West &amp; Chester</v>
      </c>
      <c r="AG134" s="15">
        <f t="shared" si="52"/>
        <v>100</v>
      </c>
      <c r="AH134" s="46">
        <f t="shared" si="64"/>
        <v>123</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100</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124</v>
      </c>
      <c r="AF135" t="str">
        <f>VLOOKUP(Profile!$J$5,Families!$C:$R,2,FALSE)</f>
        <v>Cheshire West &amp; Chester</v>
      </c>
      <c r="AG135" s="15">
        <f t="shared" si="52"/>
        <v>100</v>
      </c>
      <c r="AH135" s="46">
        <f t="shared" si="64"/>
        <v>124</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100</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125</v>
      </c>
      <c r="AF136" t="str">
        <f>VLOOKUP(Profile!$J$5,Families!$C:$R,2,FALSE)</f>
        <v>Cheshire West &amp; Chester</v>
      </c>
      <c r="AG136" s="15">
        <f t="shared" si="52"/>
        <v>100</v>
      </c>
      <c r="AH136" s="46">
        <f t="shared" si="64"/>
        <v>125</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100</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126</v>
      </c>
      <c r="AF137" t="str">
        <f>VLOOKUP(Profile!$J$5,Families!$C:$R,2,FALSE)</f>
        <v>Cheshire West &amp; Chester</v>
      </c>
      <c r="AG137" s="15">
        <f t="shared" si="52"/>
        <v>100</v>
      </c>
      <c r="AH137" s="46">
        <f t="shared" si="64"/>
        <v>126</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91.666666666666657</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127</v>
      </c>
      <c r="AF138" t="str">
        <f>VLOOKUP(Profile!$J$5,Families!$C:$R,2,FALSE)</f>
        <v>Cheshire West &amp; Chester</v>
      </c>
      <c r="AG138" s="15">
        <f t="shared" si="52"/>
        <v>100</v>
      </c>
      <c r="AH138" s="46">
        <f t="shared" si="64"/>
        <v>127</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91.666666666666657</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90</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128</v>
      </c>
      <c r="AF139" t="str">
        <f>VLOOKUP(Profile!$J$5,Families!$C:$R,2,FALSE)</f>
        <v>Cheshire West &amp; Chester</v>
      </c>
      <c r="AG139" s="15">
        <f t="shared" si="52"/>
        <v>100</v>
      </c>
      <c r="AH139" s="46">
        <f t="shared" si="64"/>
        <v>128</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90</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82.35294117647058</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129</v>
      </c>
      <c r="AF140" t="str">
        <f>VLOOKUP(Profile!$J$5,Families!$C:$R,2,FALSE)</f>
        <v>Cheshire West &amp; Chester</v>
      </c>
      <c r="AG140" s="15">
        <f t="shared" ref="AG140:AG203" si="76">VLOOKUP(AF140,$C$11:$H$333,4,FALSE)</f>
        <v>100</v>
      </c>
      <c r="AH140" s="46">
        <f t="shared" si="64"/>
        <v>129</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82.35294117647058</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85.714285714285708</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130</v>
      </c>
      <c r="AF141" t="str">
        <f>VLOOKUP(Profile!$J$5,Families!$C:$R,2,FALSE)</f>
        <v>Cheshire West &amp; Chester</v>
      </c>
      <c r="AG141" s="15">
        <f t="shared" si="76"/>
        <v>100</v>
      </c>
      <c r="AH141" s="46">
        <f t="shared" si="64"/>
        <v>130</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85.714285714285708</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100</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131</v>
      </c>
      <c r="AF142" t="str">
        <f>VLOOKUP(Profile!$J$5,Families!$C:$R,2,FALSE)</f>
        <v>Cheshire West &amp; Chester</v>
      </c>
      <c r="AG142" s="15">
        <f t="shared" si="76"/>
        <v>100</v>
      </c>
      <c r="AH142" s="46">
        <f t="shared" si="64"/>
        <v>131</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100</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100</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132</v>
      </c>
      <c r="AF143" t="str">
        <f>VLOOKUP(Profile!$J$5,Families!$C:$R,2,FALSE)</f>
        <v>Cheshire West &amp; Chester</v>
      </c>
      <c r="AG143" s="15">
        <f t="shared" si="76"/>
        <v>100</v>
      </c>
      <c r="AH143" s="46">
        <f t="shared" si="64"/>
        <v>132</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100</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100</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133</v>
      </c>
      <c r="AF144" t="str">
        <f>VLOOKUP(Profile!$J$5,Families!$C:$R,2,FALSE)</f>
        <v>Cheshire West &amp; Chester</v>
      </c>
      <c r="AG144" s="15">
        <f t="shared" si="76"/>
        <v>100</v>
      </c>
      <c r="AH144" s="46">
        <f t="shared" si="64"/>
        <v>133</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100</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87.5</v>
      </c>
      <c r="G145" s="15"/>
      <c r="H145" s="41">
        <f t="shared" si="68"/>
        <v>87.5</v>
      </c>
      <c r="I145" s="73">
        <f>IF(H145="","",IF($I$8="A",(RANK(H145,H$11:H$333,1)+COUNTIF(H$11:H145,H145)-1),(RANK(H145,H$11:H$333)+COUNTIF(H$11:H145,H145)-1)))</f>
        <v>43</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134</v>
      </c>
      <c r="AF145" t="str">
        <f>VLOOKUP(Profile!$J$5,Families!$C:$R,2,FALSE)</f>
        <v>Cheshire West &amp; Chester</v>
      </c>
      <c r="AG145" s="15">
        <f t="shared" si="76"/>
        <v>100</v>
      </c>
      <c r="AH145" s="46">
        <f t="shared" si="64"/>
        <v>134</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87.5</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100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135</v>
      </c>
      <c r="AF146" t="str">
        <f>VLOOKUP(Profile!$J$5,Families!$C:$R,2,FALSE)</f>
        <v>Cheshire West &amp; Chester</v>
      </c>
      <c r="AG146" s="15">
        <f t="shared" si="76"/>
        <v>100</v>
      </c>
      <c r="AH146" s="46">
        <f t="shared" si="64"/>
        <v>135</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100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136</v>
      </c>
      <c r="AF147" t="str">
        <f>VLOOKUP(Profile!$J$5,Families!$C:$R,2,FALSE)</f>
        <v>Cheshire West &amp; Chester</v>
      </c>
      <c r="AG147" s="15">
        <f t="shared" si="76"/>
        <v>100</v>
      </c>
      <c r="AH147" s="46">
        <f t="shared" si="64"/>
        <v>136</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80</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137</v>
      </c>
      <c r="AF148" t="str">
        <f>VLOOKUP(Profile!$J$5,Families!$C:$R,2,FALSE)</f>
        <v>Cheshire West &amp; Chester</v>
      </c>
      <c r="AG148" s="15">
        <f t="shared" si="76"/>
        <v>100</v>
      </c>
      <c r="AH148" s="46">
        <f t="shared" si="64"/>
        <v>137</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80</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138</v>
      </c>
      <c r="AF149" t="str">
        <f>VLOOKUP(Profile!$J$5,Families!$C:$R,2,FALSE)</f>
        <v>Cheshire West &amp; Chester</v>
      </c>
      <c r="AG149" s="15">
        <f t="shared" si="76"/>
        <v>100</v>
      </c>
      <c r="AH149" s="46">
        <f t="shared" si="64"/>
        <v>138</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100</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139</v>
      </c>
      <c r="AF150" t="str">
        <f>VLOOKUP(Profile!$J$5,Families!$C:$R,2,FALSE)</f>
        <v>Cheshire West &amp; Chester</v>
      </c>
      <c r="AG150" s="15">
        <f t="shared" si="76"/>
        <v>100</v>
      </c>
      <c r="AH150" s="46">
        <f t="shared" si="64"/>
        <v>139</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100</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100</v>
      </c>
      <c r="G151" s="15"/>
      <c r="H151" s="41">
        <f t="shared" si="68"/>
        <v>100</v>
      </c>
      <c r="I151" s="73">
        <f>IF(H151="","",IF($I$8="A",(RANK(H151,H$11:H$333,1)+COUNTIF(H$11:H151,H151)-1),(RANK(H151,H$11:H$333)+COUNTIF(H$11:H151,H151)-1)))</f>
        <v>11</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140</v>
      </c>
      <c r="AF151" t="str">
        <f>VLOOKUP(Profile!$J$5,Families!$C:$R,2,FALSE)</f>
        <v>Cheshire West &amp; Chester</v>
      </c>
      <c r="AG151" s="15">
        <f t="shared" si="76"/>
        <v>100</v>
      </c>
      <c r="AH151" s="46">
        <f t="shared" si="64"/>
        <v>140</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100</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80</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141</v>
      </c>
      <c r="AF152" t="str">
        <f>VLOOKUP(Profile!$J$5,Families!$C:$R,2,FALSE)</f>
        <v>Cheshire West &amp; Chester</v>
      </c>
      <c r="AG152" s="15">
        <f t="shared" si="76"/>
        <v>100</v>
      </c>
      <c r="AH152" s="46">
        <f t="shared" si="64"/>
        <v>141</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80</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95</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142</v>
      </c>
      <c r="AF153" t="str">
        <f>VLOOKUP(Profile!$J$5,Families!$C:$R,2,FALSE)</f>
        <v>Cheshire West &amp; Chester</v>
      </c>
      <c r="AG153" s="15">
        <f t="shared" si="76"/>
        <v>100</v>
      </c>
      <c r="AH153" s="46">
        <f t="shared" si="64"/>
        <v>142</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95</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143</v>
      </c>
      <c r="AF154" t="str">
        <f>VLOOKUP(Profile!$J$5,Families!$C:$R,2,FALSE)</f>
        <v>Cheshire West &amp; Chester</v>
      </c>
      <c r="AG154" s="15">
        <f t="shared" si="76"/>
        <v>100</v>
      </c>
      <c r="AH154" s="46">
        <f t="shared" si="64"/>
        <v>143</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144</v>
      </c>
      <c r="AF155" t="str">
        <f>VLOOKUP(Profile!$J$5,Families!$C:$R,2,FALSE)</f>
        <v>Cheshire West &amp; Chester</v>
      </c>
      <c r="AG155" s="15">
        <f t="shared" si="76"/>
        <v>100</v>
      </c>
      <c r="AH155" s="46">
        <f t="shared" si="64"/>
        <v>144</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145</v>
      </c>
      <c r="AF156" t="str">
        <f>VLOOKUP(Profile!$J$5,Families!$C:$R,2,FALSE)</f>
        <v>Cheshire West &amp; Chester</v>
      </c>
      <c r="AG156" s="15">
        <f t="shared" si="76"/>
        <v>100</v>
      </c>
      <c r="AH156" s="46">
        <f t="shared" si="64"/>
        <v>145</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91.666666666666657</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146</v>
      </c>
      <c r="AF157" t="str">
        <f>VLOOKUP(Profile!$J$5,Families!$C:$R,2,FALSE)</f>
        <v>Cheshire West &amp; Chester</v>
      </c>
      <c r="AG157" s="15">
        <f t="shared" si="76"/>
        <v>100</v>
      </c>
      <c r="AH157" s="46">
        <f t="shared" si="64"/>
        <v>146</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91.666666666666657</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80.769230769230774</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147</v>
      </c>
      <c r="AF158" t="str">
        <f>VLOOKUP(Profile!$J$5,Families!$C:$R,2,FALSE)</f>
        <v>Cheshire West &amp; Chester</v>
      </c>
      <c r="AG158" s="15">
        <f t="shared" si="76"/>
        <v>100</v>
      </c>
      <c r="AH158" s="46">
        <f t="shared" si="64"/>
        <v>147</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80.769230769230774</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100</v>
      </c>
      <c r="G159" s="15"/>
      <c r="H159" s="41">
        <f t="shared" si="68"/>
        <v>100</v>
      </c>
      <c r="I159" s="73">
        <f>IF(H159="","",IF($I$8="A",(RANK(H159,H$11:H$333,1)+COUNTIF(H$11:H159,H159)-1),(RANK(H159,H$11:H$333)+COUNTIF(H$11:H159,H159)-1)))</f>
        <v>12</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148</v>
      </c>
      <c r="AF159" t="str">
        <f>VLOOKUP(Profile!$J$5,Families!$C:$R,2,FALSE)</f>
        <v>Cheshire West &amp; Chester</v>
      </c>
      <c r="AG159" s="15">
        <f t="shared" si="76"/>
        <v>100</v>
      </c>
      <c r="AH159" s="46">
        <f t="shared" si="64"/>
        <v>148</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100</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149</v>
      </c>
      <c r="AF160" t="str">
        <f>VLOOKUP(Profile!$J$5,Families!$C:$R,2,FALSE)</f>
        <v>Cheshire West &amp; Chester</v>
      </c>
      <c r="AG160" s="15">
        <f t="shared" si="76"/>
        <v>100</v>
      </c>
      <c r="AH160" s="46">
        <f t="shared" si="64"/>
        <v>149</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100</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150</v>
      </c>
      <c r="AF161" t="str">
        <f>VLOOKUP(Profile!$J$5,Families!$C:$R,2,FALSE)</f>
        <v>Cheshire West &amp; Chester</v>
      </c>
      <c r="AG161" s="15">
        <f t="shared" si="76"/>
        <v>100</v>
      </c>
      <c r="AH161" s="46">
        <f t="shared" si="64"/>
        <v>150</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100</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151</v>
      </c>
      <c r="AF162" t="str">
        <f>VLOOKUP(Profile!$J$5,Families!$C:$R,2,FALSE)</f>
        <v>Cheshire West &amp; Chester</v>
      </c>
      <c r="AG162" s="15">
        <f t="shared" si="76"/>
        <v>100</v>
      </c>
      <c r="AH162" s="46">
        <f t="shared" si="64"/>
        <v>151</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75</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152</v>
      </c>
      <c r="AF163" t="str">
        <f>VLOOKUP(Profile!$J$5,Families!$C:$R,2,FALSE)</f>
        <v>Cheshire West &amp; Chester</v>
      </c>
      <c r="AG163" s="15">
        <f t="shared" si="76"/>
        <v>100</v>
      </c>
      <c r="AH163" s="46">
        <f t="shared" si="64"/>
        <v>152</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75</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100</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153</v>
      </c>
      <c r="AF164" t="str">
        <f>VLOOKUP(Profile!$J$5,Families!$C:$R,2,FALSE)</f>
        <v>Cheshire West &amp; Chester</v>
      </c>
      <c r="AG164" s="15">
        <f t="shared" si="76"/>
        <v>100</v>
      </c>
      <c r="AH164" s="46">
        <f t="shared" si="64"/>
        <v>153</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100</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154</v>
      </c>
      <c r="AF165" t="str">
        <f>VLOOKUP(Profile!$J$5,Families!$C:$R,2,FALSE)</f>
        <v>Cheshire West &amp; Chester</v>
      </c>
      <c r="AG165" s="15">
        <f t="shared" si="76"/>
        <v>100</v>
      </c>
      <c r="AH165" s="46">
        <f t="shared" si="64"/>
        <v>154</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100</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155</v>
      </c>
      <c r="AF166" t="str">
        <f>VLOOKUP(Profile!$J$5,Families!$C:$R,2,FALSE)</f>
        <v>Cheshire West &amp; Chester</v>
      </c>
      <c r="AG166" s="15">
        <f t="shared" si="76"/>
        <v>100</v>
      </c>
      <c r="AH166" s="46">
        <f t="shared" si="64"/>
        <v>155</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100</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88.888888888888886</v>
      </c>
      <c r="G167" s="15"/>
      <c r="H167" s="41">
        <f t="shared" si="68"/>
        <v>88.888888888888886</v>
      </c>
      <c r="I167" s="73">
        <f>IF(H167="","",IF($I$8="A",(RANK(H167,H$11:H$333,1)+COUNTIF(H$11:H167,H167)-1),(RANK(H167,H$11:H$333)+COUNTIF(H$11:H167,H167)-1)))</f>
        <v>41</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156</v>
      </c>
      <c r="AF167" t="str">
        <f>VLOOKUP(Profile!$J$5,Families!$C:$R,2,FALSE)</f>
        <v>Cheshire West &amp; Chester</v>
      </c>
      <c r="AG167" s="15">
        <f t="shared" si="76"/>
        <v>100</v>
      </c>
      <c r="AH167" s="46">
        <f t="shared" si="64"/>
        <v>156</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88.888888888888886</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87.5</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157</v>
      </c>
      <c r="AF168" t="str">
        <f>VLOOKUP(Profile!$J$5,Families!$C:$R,2,FALSE)</f>
        <v>Cheshire West &amp; Chester</v>
      </c>
      <c r="AG168" s="15">
        <f t="shared" si="76"/>
        <v>100</v>
      </c>
      <c r="AH168" s="46">
        <f t="shared" si="64"/>
        <v>157</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87.5</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66.666666666666657</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158</v>
      </c>
      <c r="AF169" t="str">
        <f>VLOOKUP(Profile!$J$5,Families!$C:$R,2,FALSE)</f>
        <v>Cheshire West &amp; Chester</v>
      </c>
      <c r="AG169" s="15">
        <f t="shared" si="76"/>
        <v>100</v>
      </c>
      <c r="AH169" s="46">
        <f t="shared" si="64"/>
        <v>158</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66.666666666666657</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92.307692307692307</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159</v>
      </c>
      <c r="AF170" t="str">
        <f>VLOOKUP(Profile!$J$5,Families!$C:$R,2,FALSE)</f>
        <v>Cheshire West &amp; Chester</v>
      </c>
      <c r="AG170" s="15">
        <f t="shared" si="76"/>
        <v>100</v>
      </c>
      <c r="AH170" s="46">
        <f t="shared" si="64"/>
        <v>159</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92.307692307692307</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96.428571428571431</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160</v>
      </c>
      <c r="AF171" t="str">
        <f>VLOOKUP(Profile!$J$5,Families!$C:$R,2,FALSE)</f>
        <v>Cheshire West &amp; Chester</v>
      </c>
      <c r="AG171" s="15">
        <f t="shared" si="76"/>
        <v>100</v>
      </c>
      <c r="AH171" s="46">
        <f t="shared" si="64"/>
        <v>160</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96.428571428571431</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161</v>
      </c>
      <c r="AF172" t="str">
        <f>VLOOKUP(Profile!$J$5,Families!$C:$R,2,FALSE)</f>
        <v>Cheshire West &amp; Chester</v>
      </c>
      <c r="AG172" s="15">
        <f t="shared" si="76"/>
        <v>100</v>
      </c>
      <c r="AH172" s="46">
        <f t="shared" si="64"/>
        <v>161</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87.5</v>
      </c>
      <c r="G173" s="15"/>
      <c r="H173" s="41">
        <f t="shared" si="68"/>
        <v>87.5</v>
      </c>
      <c r="I173" s="73">
        <f>IF(H173="","",IF($I$8="A",(RANK(H173,H$11:H$333,1)+COUNTIF(H$11:H173,H173)-1),(RANK(H173,H$11:H$333)+COUNTIF(H$11:H173,H173)-1)))</f>
        <v>44</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162</v>
      </c>
      <c r="AF173" t="str">
        <f>VLOOKUP(Profile!$J$5,Families!$C:$R,2,FALSE)</f>
        <v>Cheshire West &amp; Chester</v>
      </c>
      <c r="AG173" s="15">
        <f t="shared" si="76"/>
        <v>100</v>
      </c>
      <c r="AH173" s="46">
        <f t="shared" si="64"/>
        <v>162</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87.5</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57.142857142857139</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163</v>
      </c>
      <c r="AF174" t="str">
        <f>VLOOKUP(Profile!$J$5,Families!$C:$R,2,FALSE)</f>
        <v>Cheshire West &amp; Chester</v>
      </c>
      <c r="AG174" s="15">
        <f t="shared" si="76"/>
        <v>100</v>
      </c>
      <c r="AH174" s="46">
        <f t="shared" si="64"/>
        <v>163</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57.142857142857139</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164</v>
      </c>
      <c r="AF175" t="str">
        <f>VLOOKUP(Profile!$J$5,Families!$C:$R,2,FALSE)</f>
        <v>Cheshire West &amp; Chester</v>
      </c>
      <c r="AG175" s="15">
        <f t="shared" si="76"/>
        <v>100</v>
      </c>
      <c r="AH175" s="46">
        <f t="shared" si="64"/>
        <v>164</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88.888888888888886</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165</v>
      </c>
      <c r="AF176" t="str">
        <f>VLOOKUP(Profile!$J$5,Families!$C:$R,2,FALSE)</f>
        <v>Cheshire West &amp; Chester</v>
      </c>
      <c r="AG176" s="15">
        <f t="shared" si="76"/>
        <v>100</v>
      </c>
      <c r="AH176" s="46">
        <f t="shared" si="64"/>
        <v>165</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88.888888888888886</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87.5</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166</v>
      </c>
      <c r="AF177" t="str">
        <f>VLOOKUP(Profile!$J$5,Families!$C:$R,2,FALSE)</f>
        <v>Cheshire West &amp; Chester</v>
      </c>
      <c r="AG177" s="15">
        <f t="shared" si="76"/>
        <v>100</v>
      </c>
      <c r="AH177" s="46">
        <f t="shared" si="64"/>
        <v>166</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87.5</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167</v>
      </c>
      <c r="AF178" t="str">
        <f>VLOOKUP(Profile!$J$5,Families!$C:$R,2,FALSE)</f>
        <v>Cheshire West &amp; Chester</v>
      </c>
      <c r="AG178" s="15">
        <f t="shared" si="76"/>
        <v>100</v>
      </c>
      <c r="AH178" s="46">
        <f t="shared" si="64"/>
        <v>167</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100</v>
      </c>
      <c r="G179" s="15"/>
      <c r="H179" s="41">
        <f t="shared" si="68"/>
        <v>100</v>
      </c>
      <c r="I179" s="73">
        <f>IF(H179="","",IF($I$8="A",(RANK(H179,H$11:H$333,1)+COUNTIF(H$11:H179,H179)-1),(RANK(H179,H$11:H$333)+COUNTIF(H$11:H179,H179)-1)))</f>
        <v>13</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168</v>
      </c>
      <c r="AF179" t="str">
        <f>VLOOKUP(Profile!$J$5,Families!$C:$R,2,FALSE)</f>
        <v>Cheshire West &amp; Chester</v>
      </c>
      <c r="AG179" s="15">
        <f t="shared" si="76"/>
        <v>100</v>
      </c>
      <c r="AH179" s="46">
        <f t="shared" si="64"/>
        <v>168</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100</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100</v>
      </c>
      <c r="G180" s="15"/>
      <c r="H180" s="41">
        <f t="shared" si="68"/>
        <v>100</v>
      </c>
      <c r="I180" s="73">
        <f>IF(H180="","",IF($I$8="A",(RANK(H180,H$11:H$333,1)+COUNTIF(H$11:H180,H180)-1),(RANK(H180,H$11:H$333)+COUNTIF(H$11:H180,H180)-1)))</f>
        <v>14</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169</v>
      </c>
      <c r="AF180" t="str">
        <f>VLOOKUP(Profile!$J$5,Families!$C:$R,2,FALSE)</f>
        <v>Cheshire West &amp; Chester</v>
      </c>
      <c r="AG180" s="15">
        <f t="shared" si="76"/>
        <v>100</v>
      </c>
      <c r="AH180" s="46">
        <f t="shared" si="64"/>
        <v>169</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100</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71.428571428571431</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170</v>
      </c>
      <c r="AF181" t="str">
        <f>VLOOKUP(Profile!$J$5,Families!$C:$R,2,FALSE)</f>
        <v>Cheshire West &amp; Chester</v>
      </c>
      <c r="AG181" s="15">
        <f t="shared" si="76"/>
        <v>100</v>
      </c>
      <c r="AH181" s="46">
        <f t="shared" si="64"/>
        <v>170</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71.428571428571431</v>
      </c>
    </row>
    <row r="182" spans="1:50">
      <c r="A182" s="55" t="str">
        <f>$D$1&amp;172</f>
        <v>UA172</v>
      </c>
      <c r="B182" s="56">
        <f>IF(ISERROR(VLOOKUP(A182,classifications!A:C,3,FALSE)),0,VLOOKUP(A182,classifications!A:C,3,FALSE))</f>
        <v>0</v>
      </c>
      <c r="C182" t="s">
        <v>106</v>
      </c>
      <c r="D182" t="str">
        <f>VLOOKUP($C182,classifications!$C:$J,4,FALSE)</f>
        <v>SD</v>
      </c>
      <c r="E182">
        <f>VLOOKUP(C182,classifications!C:K,9,FALSE)</f>
        <v>0</v>
      </c>
      <c r="F182">
        <f t="shared" si="67"/>
        <v>80</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171</v>
      </c>
      <c r="AF182" t="str">
        <f>VLOOKUP(Profile!$J$5,Families!$C:$R,2,FALSE)</f>
        <v>Cheshire West &amp; Chester</v>
      </c>
      <c r="AG182" s="15">
        <f t="shared" si="76"/>
        <v>100</v>
      </c>
      <c r="AH182" s="46">
        <f t="shared" si="64"/>
        <v>171</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80</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100</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172</v>
      </c>
      <c r="AF183" t="str">
        <f>VLOOKUP(Profile!$J$5,Families!$C:$R,2,FALSE)</f>
        <v>Cheshire West &amp; Chester</v>
      </c>
      <c r="AG183" s="15">
        <f t="shared" si="76"/>
        <v>100</v>
      </c>
      <c r="AH183" s="46">
        <f t="shared" si="64"/>
        <v>172</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100</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100</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173</v>
      </c>
      <c r="AF184" t="str">
        <f>VLOOKUP(Profile!$J$5,Families!$C:$R,2,FALSE)</f>
        <v>Cheshire West &amp; Chester</v>
      </c>
      <c r="AG184" s="15">
        <f t="shared" si="76"/>
        <v>100</v>
      </c>
      <c r="AH184" s="46">
        <f t="shared" si="64"/>
        <v>173</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100</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100</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174</v>
      </c>
      <c r="AF185" t="str">
        <f>VLOOKUP(Profile!$J$5,Families!$C:$R,2,FALSE)</f>
        <v>Cheshire West &amp; Chester</v>
      </c>
      <c r="AG185" s="15">
        <f t="shared" si="76"/>
        <v>100</v>
      </c>
      <c r="AH185" s="46">
        <f t="shared" si="64"/>
        <v>174</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100</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175</v>
      </c>
      <c r="AF186" t="str">
        <f>VLOOKUP(Profile!$J$5,Families!$C:$R,2,FALSE)</f>
        <v>Cheshire West &amp; Chester</v>
      </c>
      <c r="AG186" s="15">
        <f t="shared" si="76"/>
        <v>100</v>
      </c>
      <c r="AH186" s="46">
        <f t="shared" ref="AH186:AH249" si="88">AE186</f>
        <v>175</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176</v>
      </c>
      <c r="AF187" t="str">
        <f>VLOOKUP(Profile!$J$5,Families!$C:$R,2,FALSE)</f>
        <v>Cheshire West &amp; Chester</v>
      </c>
      <c r="AG187" s="15">
        <f t="shared" si="76"/>
        <v>100</v>
      </c>
      <c r="AH187" s="46">
        <f t="shared" si="88"/>
        <v>176</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100</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177</v>
      </c>
      <c r="AF188" t="str">
        <f>VLOOKUP(Profile!$J$5,Families!$C:$R,2,FALSE)</f>
        <v>Cheshire West &amp; Chester</v>
      </c>
      <c r="AG188" s="15">
        <f t="shared" si="76"/>
        <v>100</v>
      </c>
      <c r="AH188" s="46">
        <f t="shared" si="88"/>
        <v>177</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100</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178</v>
      </c>
      <c r="AF189" t="str">
        <f>VLOOKUP(Profile!$J$5,Families!$C:$R,2,FALSE)</f>
        <v>Cheshire West &amp; Chester</v>
      </c>
      <c r="AG189" s="15">
        <f t="shared" si="76"/>
        <v>100</v>
      </c>
      <c r="AH189" s="46">
        <f t="shared" si="88"/>
        <v>178</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100</v>
      </c>
      <c r="G190" s="15"/>
      <c r="H190" s="41">
        <f t="shared" si="68"/>
        <v>100</v>
      </c>
      <c r="I190" s="73">
        <f>IF(H190="","",IF($I$8="A",(RANK(H190,H$11:H$333,1)+COUNTIF(H$11:H190,H190)-1),(RANK(H190,H$11:H$333)+COUNTIF(H$11:H190,H190)-1)))</f>
        <v>15</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179</v>
      </c>
      <c r="AF190" t="str">
        <f>VLOOKUP(Profile!$J$5,Families!$C:$R,2,FALSE)</f>
        <v>Cheshire West &amp; Chester</v>
      </c>
      <c r="AG190" s="15">
        <f t="shared" si="76"/>
        <v>100</v>
      </c>
      <c r="AH190" s="46">
        <f t="shared" si="88"/>
        <v>179</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100</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100</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180</v>
      </c>
      <c r="AF191" t="str">
        <f>VLOOKUP(Profile!$J$5,Families!$C:$R,2,FALSE)</f>
        <v>Cheshire West &amp; Chester</v>
      </c>
      <c r="AG191" s="15">
        <f t="shared" si="76"/>
        <v>100</v>
      </c>
      <c r="AH191" s="46">
        <f t="shared" si="88"/>
        <v>180</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100</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100</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181</v>
      </c>
      <c r="AF192" t="str">
        <f>VLOOKUP(Profile!$J$5,Families!$C:$R,2,FALSE)</f>
        <v>Cheshire West &amp; Chester</v>
      </c>
      <c r="AG192" s="15">
        <f t="shared" si="76"/>
        <v>100</v>
      </c>
      <c r="AH192" s="46">
        <f t="shared" si="88"/>
        <v>181</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100</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83.333333333333343</v>
      </c>
      <c r="G193" s="15"/>
      <c r="H193" s="41">
        <f t="shared" si="68"/>
        <v>83.333333333333343</v>
      </c>
      <c r="I193" s="73">
        <f>IF(H193="","",IF($I$8="A",(RANK(H193,H$11:H$333,1)+COUNTIF(H$11:H193,H193)-1),(RANK(H193,H$11:H$333)+COUNTIF(H$11:H193,H193)-1)))</f>
        <v>49</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182</v>
      </c>
      <c r="AF193" t="str">
        <f>VLOOKUP(Profile!$J$5,Families!$C:$R,2,FALSE)</f>
        <v>Cheshire West &amp; Chester</v>
      </c>
      <c r="AG193" s="15">
        <f t="shared" si="76"/>
        <v>100</v>
      </c>
      <c r="AH193" s="46">
        <f t="shared" si="88"/>
        <v>182</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83.333333333333343</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183</v>
      </c>
      <c r="AF194" t="str">
        <f>VLOOKUP(Profile!$J$5,Families!$C:$R,2,FALSE)</f>
        <v>Cheshire West &amp; Chester</v>
      </c>
      <c r="AG194" s="15">
        <f t="shared" si="76"/>
        <v>100</v>
      </c>
      <c r="AH194" s="46">
        <f t="shared" si="88"/>
        <v>183</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76.923076923076934</v>
      </c>
      <c r="G195" s="15"/>
      <c r="H195" s="41">
        <f t="shared" si="68"/>
        <v>76.923076923076934</v>
      </c>
      <c r="I195" s="73">
        <f>IF(H195="","",IF($I$8="A",(RANK(H195,H$11:H$333,1)+COUNTIF(H$11:H195,H195)-1),(RANK(H195,H$11:H$333)+COUNTIF(H$11:H195,H195)-1)))</f>
        <v>58</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184</v>
      </c>
      <c r="AF195" t="str">
        <f>VLOOKUP(Profile!$J$5,Families!$C:$R,2,FALSE)</f>
        <v>Cheshire West &amp; Chester</v>
      </c>
      <c r="AG195" s="15">
        <f t="shared" si="76"/>
        <v>100</v>
      </c>
      <c r="AH195" s="46">
        <f t="shared" si="88"/>
        <v>184</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76.923076923076934</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91.666666666666657</v>
      </c>
      <c r="G196" s="15"/>
      <c r="H196" s="41">
        <f t="shared" si="68"/>
        <v>91.666666666666657</v>
      </c>
      <c r="I196" s="73">
        <f>IF(H196="","",IF($I$8="A",(RANK(H196,H$11:H$333,1)+COUNTIF(H$11:H196,H196)-1),(RANK(H196,H$11:H$333)+COUNTIF(H$11:H196,H196)-1)))</f>
        <v>40</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185</v>
      </c>
      <c r="AF196" t="str">
        <f>VLOOKUP(Profile!$J$5,Families!$C:$R,2,FALSE)</f>
        <v>Cheshire West &amp; Chester</v>
      </c>
      <c r="AG196" s="15">
        <f t="shared" si="76"/>
        <v>100</v>
      </c>
      <c r="AH196" s="46">
        <f t="shared" si="88"/>
        <v>185</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91.666666666666657</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186</v>
      </c>
      <c r="AF197" t="str">
        <f>VLOOKUP(Profile!$J$5,Families!$C:$R,2,FALSE)</f>
        <v>Cheshire West &amp; Chester</v>
      </c>
      <c r="AG197" s="15">
        <f t="shared" si="76"/>
        <v>100</v>
      </c>
      <c r="AH197" s="46">
        <f t="shared" si="88"/>
        <v>186</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187</v>
      </c>
      <c r="AF198" t="str">
        <f>VLOOKUP(Profile!$J$5,Families!$C:$R,2,FALSE)</f>
        <v>Cheshire West &amp; Chester</v>
      </c>
      <c r="AG198" s="15">
        <f t="shared" si="76"/>
        <v>100</v>
      </c>
      <c r="AH198" s="46">
        <f t="shared" si="88"/>
        <v>187</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94.117647058823522</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188</v>
      </c>
      <c r="AF199" t="str">
        <f>VLOOKUP(Profile!$J$5,Families!$C:$R,2,FALSE)</f>
        <v>Cheshire West &amp; Chester</v>
      </c>
      <c r="AG199" s="15">
        <f t="shared" si="76"/>
        <v>100</v>
      </c>
      <c r="AH199" s="46">
        <f t="shared" si="88"/>
        <v>188</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94.117647058823522</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84.090909090909093</v>
      </c>
      <c r="G200" s="15"/>
      <c r="H200" s="41">
        <f t="shared" si="68"/>
        <v>84.090909090909093</v>
      </c>
      <c r="I200" s="73">
        <f>IF(H200="","",IF($I$8="A",(RANK(H200,H$11:H$333,1)+COUNTIF(H$11:H200,H200)-1),(RANK(H200,H$11:H$333)+COUNTIF(H$11:H200,H200)-1)))</f>
        <v>48</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189</v>
      </c>
      <c r="AF200" t="str">
        <f>VLOOKUP(Profile!$J$5,Families!$C:$R,2,FALSE)</f>
        <v>Cheshire West &amp; Chester</v>
      </c>
      <c r="AG200" s="15">
        <f t="shared" si="76"/>
        <v>100</v>
      </c>
      <c r="AH200" s="46">
        <f t="shared" si="88"/>
        <v>189</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84.090909090909093</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95.454545454545453</v>
      </c>
      <c r="G201" s="15"/>
      <c r="H201" s="41">
        <f t="shared" si="68"/>
        <v>95.454545454545453</v>
      </c>
      <c r="I201" s="73">
        <f>IF(H201="","",IF($I$8="A",(RANK(H201,H$11:H$333,1)+COUNTIF(H$11:H201,H201)-1),(RANK(H201,H$11:H$333)+COUNTIF(H$11:H201,H201)-1)))</f>
        <v>32</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190</v>
      </c>
      <c r="AF201" t="str">
        <f>VLOOKUP(Profile!$J$5,Families!$C:$R,2,FALSE)</f>
        <v>Cheshire West &amp; Chester</v>
      </c>
      <c r="AG201" s="15">
        <f t="shared" si="76"/>
        <v>100</v>
      </c>
      <c r="AH201" s="46">
        <f t="shared" si="88"/>
        <v>190</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95.454545454545453</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75</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191</v>
      </c>
      <c r="AF202" t="str">
        <f>VLOOKUP(Profile!$J$5,Families!$C:$R,2,FALSE)</f>
        <v>Cheshire West &amp; Chester</v>
      </c>
      <c r="AG202" s="15">
        <f t="shared" si="76"/>
        <v>100</v>
      </c>
      <c r="AH202" s="46">
        <f t="shared" si="88"/>
        <v>191</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75</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100</v>
      </c>
      <c r="G203" s="15"/>
      <c r="H203" s="41">
        <f t="shared" ref="H203:H266" si="92">IF(D203=$D$1,HLOOKUP($D$6,$AX$10:$ZZ$337,ROW()-9,FALSE),"")</f>
        <v>100</v>
      </c>
      <c r="I203" s="73">
        <f>IF(H203="","",IF($I$8="A",(RANK(H203,H$11:H$333,1)+COUNTIF(H$11:H203,H203)-1),(RANK(H203,H$11:H$333)+COUNTIF(H$11:H203,H203)-1)))</f>
        <v>16</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192</v>
      </c>
      <c r="AF203" t="str">
        <f>VLOOKUP(Profile!$J$5,Families!$C:$R,2,FALSE)</f>
        <v>Cheshire West &amp; Chester</v>
      </c>
      <c r="AG203" s="15">
        <f t="shared" si="76"/>
        <v>100</v>
      </c>
      <c r="AH203" s="46">
        <f t="shared" si="88"/>
        <v>192</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100</v>
      </c>
    </row>
    <row r="204" spans="1:50">
      <c r="A204" s="55" t="str">
        <f>$D$1&amp;194</f>
        <v>UA194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193</v>
      </c>
      <c r="AF204" t="str">
        <f>VLOOKUP(Profile!$J$5,Families!$C:$R,2,FALSE)</f>
        <v>Cheshire West &amp; Chester</v>
      </c>
      <c r="AG204" s="15">
        <f t="shared" ref="AG204:AG267" si="100">VLOOKUP(AF204,$C$11:$H$333,4,FALSE)</f>
        <v>100</v>
      </c>
      <c r="AH204" s="46">
        <f t="shared" si="88"/>
        <v>193</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70</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194</v>
      </c>
      <c r="AF205" t="str">
        <f>VLOOKUP(Profile!$J$5,Families!$C:$R,2,FALSE)</f>
        <v>Cheshire West &amp; Chester</v>
      </c>
      <c r="AG205" s="15">
        <f t="shared" si="100"/>
        <v>100</v>
      </c>
      <c r="AH205" s="46">
        <f t="shared" si="88"/>
        <v>194</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70</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195</v>
      </c>
      <c r="AF206" t="str">
        <f>VLOOKUP(Profile!$J$5,Families!$C:$R,2,FALSE)</f>
        <v>Cheshire West &amp; Chester</v>
      </c>
      <c r="AG206" s="15">
        <f t="shared" si="100"/>
        <v>100</v>
      </c>
      <c r="AH206" s="46">
        <f t="shared" si="88"/>
        <v>195</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196</v>
      </c>
      <c r="AF207" t="str">
        <f>VLOOKUP(Profile!$J$5,Families!$C:$R,2,FALSE)</f>
        <v>Cheshire West &amp; Chester</v>
      </c>
      <c r="AG207" s="15">
        <f t="shared" si="100"/>
        <v>100</v>
      </c>
      <c r="AH207" s="46">
        <f t="shared" si="88"/>
        <v>196</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197</v>
      </c>
      <c r="AF208" t="str">
        <f>VLOOKUP(Profile!$J$5,Families!$C:$R,2,FALSE)</f>
        <v>Cheshire West &amp; Chester</v>
      </c>
      <c r="AG208" s="15">
        <f t="shared" si="100"/>
        <v>100</v>
      </c>
      <c r="AH208" s="46">
        <f t="shared" si="88"/>
        <v>197</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198</v>
      </c>
      <c r="AF209" t="str">
        <f>VLOOKUP(Profile!$J$5,Families!$C:$R,2,FALSE)</f>
        <v>Cheshire West &amp; Chester</v>
      </c>
      <c r="AG209" s="15">
        <f t="shared" si="100"/>
        <v>100</v>
      </c>
      <c r="AH209" s="46">
        <f t="shared" si="88"/>
        <v>198</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83.333333333333343</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199</v>
      </c>
      <c r="AF210" t="str">
        <f>VLOOKUP(Profile!$J$5,Families!$C:$R,2,FALSE)</f>
        <v>Cheshire West &amp; Chester</v>
      </c>
      <c r="AG210" s="15">
        <f t="shared" si="100"/>
        <v>100</v>
      </c>
      <c r="AH210" s="46">
        <f t="shared" si="88"/>
        <v>199</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83.333333333333343</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81.25</v>
      </c>
      <c r="G211" s="15"/>
      <c r="H211" s="41">
        <f t="shared" si="92"/>
        <v>81.25</v>
      </c>
      <c r="I211" s="73">
        <f>IF(H211="","",IF($I$8="A",(RANK(H211,H$11:H$333,1)+COUNTIF(H$11:H211,H211)-1),(RANK(H211,H$11:H$333)+COUNTIF(H$11:H211,H211)-1)))</f>
        <v>53</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200</v>
      </c>
      <c r="AF211" t="str">
        <f>VLOOKUP(Profile!$J$5,Families!$C:$R,2,FALSE)</f>
        <v>Cheshire West &amp; Chester</v>
      </c>
      <c r="AG211" s="15">
        <f t="shared" si="100"/>
        <v>100</v>
      </c>
      <c r="AH211" s="46">
        <f t="shared" si="88"/>
        <v>200</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81.25</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f t="shared" si="92"/>
        <v>100</v>
      </c>
      <c r="I212" s="73">
        <f>IF(H212="","",IF($I$8="A",(RANK(H212,H$11:H$333,1)+COUNTIF(H$11:H212,H212)-1),(RANK(H212,H$11:H$333)+COUNTIF(H$11:H212,H212)-1)))</f>
        <v>17</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201</v>
      </c>
      <c r="AF212" t="str">
        <f>VLOOKUP(Profile!$J$5,Families!$C:$R,2,FALSE)</f>
        <v>Cheshire West &amp; Chester</v>
      </c>
      <c r="AG212" s="15">
        <f t="shared" si="100"/>
        <v>100</v>
      </c>
      <c r="AH212" s="46">
        <f t="shared" si="88"/>
        <v>201</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f t="shared" si="92"/>
        <v>100</v>
      </c>
      <c r="I213" s="73">
        <f>IF(H213="","",IF($I$8="A",(RANK(H213,H$11:H$333,1)+COUNTIF(H$11:H213,H213)-1),(RANK(H213,H$11:H$333)+COUNTIF(H$11:H213,H213)-1)))</f>
        <v>18</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202</v>
      </c>
      <c r="AF213" t="str">
        <f>VLOOKUP(Profile!$J$5,Families!$C:$R,2,FALSE)</f>
        <v>Cheshire West &amp; Chester</v>
      </c>
      <c r="AG213" s="15">
        <f t="shared" si="100"/>
        <v>100</v>
      </c>
      <c r="AH213" s="46">
        <f t="shared" si="88"/>
        <v>202</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203</v>
      </c>
      <c r="AF214" t="str">
        <f>VLOOKUP(Profile!$J$5,Families!$C:$R,2,FALSE)</f>
        <v>Cheshire West &amp; Chester</v>
      </c>
      <c r="AG214" s="15">
        <f t="shared" si="100"/>
        <v>100</v>
      </c>
      <c r="AH214" s="46">
        <f t="shared" si="88"/>
        <v>203</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75</v>
      </c>
      <c r="G215" s="15"/>
      <c r="H215" s="41">
        <f t="shared" si="92"/>
        <v>75</v>
      </c>
      <c r="I215" s="73">
        <f>IF(H215="","",IF($I$8="A",(RANK(H215,H$11:H$333,1)+COUNTIF(H$11:H215,H215)-1),(RANK(H215,H$11:H$333)+COUNTIF(H$11:H215,H215)-1)))</f>
        <v>59</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204</v>
      </c>
      <c r="AF215" t="str">
        <f>VLOOKUP(Profile!$J$5,Families!$C:$R,2,FALSE)</f>
        <v>Cheshire West &amp; Chester</v>
      </c>
      <c r="AG215" s="15">
        <f t="shared" si="100"/>
        <v>100</v>
      </c>
      <c r="AH215" s="46">
        <f t="shared" si="88"/>
        <v>204</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75</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100</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205</v>
      </c>
      <c r="AF216" t="str">
        <f>VLOOKUP(Profile!$J$5,Families!$C:$R,2,FALSE)</f>
        <v>Cheshire West &amp; Chester</v>
      </c>
      <c r="AG216" s="15">
        <f t="shared" si="100"/>
        <v>100</v>
      </c>
      <c r="AH216" s="46">
        <f t="shared" si="88"/>
        <v>205</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100</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f t="shared" si="92"/>
        <v>100</v>
      </c>
      <c r="I217" s="73">
        <f>IF(H217="","",IF($I$8="A",(RANK(H217,H$11:H$333,1)+COUNTIF(H$11:H217,H217)-1),(RANK(H217,H$11:H$333)+COUNTIF(H$11:H217,H217)-1)))</f>
        <v>19</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206</v>
      </c>
      <c r="AF217" t="str">
        <f>VLOOKUP(Profile!$J$5,Families!$C:$R,2,FALSE)</f>
        <v>Cheshire West &amp; Chester</v>
      </c>
      <c r="AG217" s="15">
        <f t="shared" si="100"/>
        <v>100</v>
      </c>
      <c r="AH217" s="46">
        <f t="shared" si="88"/>
        <v>206</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207</v>
      </c>
      <c r="AF218" t="str">
        <f>VLOOKUP(Profile!$J$5,Families!$C:$R,2,FALSE)</f>
        <v>Cheshire West &amp; Chester</v>
      </c>
      <c r="AG218" s="15">
        <f t="shared" si="100"/>
        <v>100</v>
      </c>
      <c r="AH218" s="46">
        <f t="shared" si="88"/>
        <v>207</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208</v>
      </c>
      <c r="AF219" t="str">
        <f>VLOOKUP(Profile!$J$5,Families!$C:$R,2,FALSE)</f>
        <v>Cheshire West &amp; Chester</v>
      </c>
      <c r="AG219" s="15">
        <f t="shared" si="100"/>
        <v>100</v>
      </c>
      <c r="AH219" s="46">
        <f t="shared" si="88"/>
        <v>208</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100</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209</v>
      </c>
      <c r="AF220" t="str">
        <f>VLOOKUP(Profile!$J$5,Families!$C:$R,2,FALSE)</f>
        <v>Cheshire West &amp; Chester</v>
      </c>
      <c r="AG220" s="15">
        <f t="shared" si="100"/>
        <v>100</v>
      </c>
      <c r="AH220" s="46">
        <f t="shared" si="88"/>
        <v>209</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100</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210</v>
      </c>
      <c r="AF221" t="str">
        <f>VLOOKUP(Profile!$J$5,Families!$C:$R,2,FALSE)</f>
        <v>Cheshire West &amp; Chester</v>
      </c>
      <c r="AG221" s="15">
        <f t="shared" si="100"/>
        <v>100</v>
      </c>
      <c r="AH221" s="46">
        <f t="shared" si="88"/>
        <v>210</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100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211</v>
      </c>
      <c r="AF222" t="str">
        <f>VLOOKUP(Profile!$J$5,Families!$C:$R,2,FALSE)</f>
        <v>Cheshire West &amp; Chester</v>
      </c>
      <c r="AG222" s="15">
        <f t="shared" si="100"/>
        <v>100</v>
      </c>
      <c r="AH222" s="46">
        <f t="shared" si="88"/>
        <v>211</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100</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0</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212</v>
      </c>
      <c r="AF223" t="str">
        <f>VLOOKUP(Profile!$J$5,Families!$C:$R,2,FALSE)</f>
        <v>Cheshire West &amp; Chester</v>
      </c>
      <c r="AG223" s="15">
        <f t="shared" si="100"/>
        <v>100</v>
      </c>
      <c r="AH223" s="46">
        <f t="shared" si="88"/>
        <v>212</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0</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213</v>
      </c>
      <c r="AF224" t="str">
        <f>VLOOKUP(Profile!$J$5,Families!$C:$R,2,FALSE)</f>
        <v>Cheshire West &amp; Chester</v>
      </c>
      <c r="AG224" s="15">
        <f t="shared" si="100"/>
        <v>100</v>
      </c>
      <c r="AH224" s="46">
        <f t="shared" si="88"/>
        <v>213</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214</v>
      </c>
      <c r="AF225" t="str">
        <f>VLOOKUP(Profile!$J$5,Families!$C:$R,2,FALSE)</f>
        <v>Cheshire West &amp; Chester</v>
      </c>
      <c r="AG225" s="15">
        <f t="shared" si="100"/>
        <v>100</v>
      </c>
      <c r="AH225" s="46">
        <f t="shared" si="88"/>
        <v>214</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215</v>
      </c>
      <c r="AF226" t="str">
        <f>VLOOKUP(Profile!$J$5,Families!$C:$R,2,FALSE)</f>
        <v>Cheshire West &amp; Chester</v>
      </c>
      <c r="AG226" s="15">
        <f t="shared" si="100"/>
        <v>100</v>
      </c>
      <c r="AH226" s="46">
        <f t="shared" si="88"/>
        <v>215</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66.666666666666657</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216</v>
      </c>
      <c r="AF227" t="str">
        <f>VLOOKUP(Profile!$J$5,Families!$C:$R,2,FALSE)</f>
        <v>Cheshire West &amp; Chester</v>
      </c>
      <c r="AG227" s="15">
        <f t="shared" si="100"/>
        <v>100</v>
      </c>
      <c r="AH227" s="46">
        <f t="shared" si="88"/>
        <v>216</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66.666666666666657</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217</v>
      </c>
      <c r="AF228" t="str">
        <f>VLOOKUP(Profile!$J$5,Families!$C:$R,2,FALSE)</f>
        <v>Cheshire West &amp; Chester</v>
      </c>
      <c r="AG228" s="15">
        <f t="shared" si="100"/>
        <v>100</v>
      </c>
      <c r="AH228" s="46">
        <f t="shared" si="88"/>
        <v>217</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90.909090909090907</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218</v>
      </c>
      <c r="AF229" t="str">
        <f>VLOOKUP(Profile!$J$5,Families!$C:$R,2,FALSE)</f>
        <v>Cheshire West &amp; Chester</v>
      </c>
      <c r="AG229" s="15">
        <f t="shared" si="100"/>
        <v>100</v>
      </c>
      <c r="AH229" s="46">
        <f t="shared" si="88"/>
        <v>218</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90.909090909090907</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219</v>
      </c>
      <c r="AF230" t="str">
        <f>VLOOKUP(Profile!$J$5,Families!$C:$R,2,FALSE)</f>
        <v>Cheshire West &amp; Chester</v>
      </c>
      <c r="AG230" s="15">
        <f t="shared" si="100"/>
        <v>100</v>
      </c>
      <c r="AH230" s="46">
        <f t="shared" si="88"/>
        <v>219</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100</v>
      </c>
      <c r="G231" s="15"/>
      <c r="H231" s="41">
        <f t="shared" si="92"/>
        <v>100</v>
      </c>
      <c r="I231" s="73">
        <f>IF(H231="","",IF($I$8="A",(RANK(H231,H$11:H$333,1)+COUNTIF(H$11:H231,H231)-1),(RANK(H231,H$11:H$333)+COUNTIF(H$11:H231,H231)-1)))</f>
        <v>20</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220</v>
      </c>
      <c r="AF231" t="str">
        <f>VLOOKUP(Profile!$J$5,Families!$C:$R,2,FALSE)</f>
        <v>Cheshire West &amp; Chester</v>
      </c>
      <c r="AG231" s="15">
        <f t="shared" si="100"/>
        <v>100</v>
      </c>
      <c r="AH231" s="46">
        <f t="shared" si="88"/>
        <v>220</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100</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100</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221</v>
      </c>
      <c r="AF232" t="str">
        <f>VLOOKUP(Profile!$J$5,Families!$C:$R,2,FALSE)</f>
        <v>Cheshire West &amp; Chester</v>
      </c>
      <c r="AG232" s="15">
        <f t="shared" si="100"/>
        <v>100</v>
      </c>
      <c r="AH232" s="46">
        <f t="shared" si="88"/>
        <v>221</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100</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100</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222</v>
      </c>
      <c r="AF233" t="str">
        <f>VLOOKUP(Profile!$J$5,Families!$C:$R,2,FALSE)</f>
        <v>Cheshire West &amp; Chester</v>
      </c>
      <c r="AG233" s="15">
        <f t="shared" si="100"/>
        <v>100</v>
      </c>
      <c r="AH233" s="46">
        <f t="shared" si="88"/>
        <v>222</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100</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100</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223</v>
      </c>
      <c r="AF234" t="str">
        <f>VLOOKUP(Profile!$J$5,Families!$C:$R,2,FALSE)</f>
        <v>Cheshire West &amp; Chester</v>
      </c>
      <c r="AG234" s="15">
        <f t="shared" si="100"/>
        <v>100</v>
      </c>
      <c r="AH234" s="46">
        <f t="shared" si="88"/>
        <v>223</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100</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80</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224</v>
      </c>
      <c r="AF235" t="str">
        <f>VLOOKUP(Profile!$J$5,Families!$C:$R,2,FALSE)</f>
        <v>Cheshire West &amp; Chester</v>
      </c>
      <c r="AG235" s="15">
        <f t="shared" si="100"/>
        <v>100</v>
      </c>
      <c r="AH235" s="46">
        <f t="shared" si="88"/>
        <v>224</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80</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77.777777777777786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225</v>
      </c>
      <c r="AF236" t="str">
        <f>VLOOKUP(Profile!$J$5,Families!$C:$R,2,FALSE)</f>
        <v>Cheshire West &amp; Chester</v>
      </c>
      <c r="AG236" s="15">
        <f t="shared" si="100"/>
        <v>100</v>
      </c>
      <c r="AH236" s="46">
        <f t="shared" si="88"/>
        <v>225</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77.777777777777786</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92.10526315789474</v>
      </c>
      <c r="G237" s="15"/>
      <c r="H237" s="41">
        <f t="shared" si="92"/>
        <v>92.10526315789474</v>
      </c>
      <c r="I237" s="73">
        <f>IF(H237="","",IF($I$8="A",(RANK(H237,H$11:H$333,1)+COUNTIF(H$11:H237,H237)-1),(RANK(H237,H$11:H$333)+COUNTIF(H$11:H237,H237)-1)))</f>
        <v>36</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226</v>
      </c>
      <c r="AF237" t="str">
        <f>VLOOKUP(Profile!$J$5,Families!$C:$R,2,FALSE)</f>
        <v>Cheshire West &amp; Chester</v>
      </c>
      <c r="AG237" s="15">
        <f t="shared" si="100"/>
        <v>100</v>
      </c>
      <c r="AH237" s="46">
        <f t="shared" si="88"/>
        <v>226</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92.10526315789474</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100</v>
      </c>
      <c r="G238" s="15"/>
      <c r="H238" s="41">
        <f t="shared" si="92"/>
        <v>100</v>
      </c>
      <c r="I238" s="73">
        <f>IF(H238="","",IF($I$8="A",(RANK(H238,H$11:H$333,1)+COUNTIF(H$11:H238,H238)-1),(RANK(H238,H$11:H$333)+COUNTIF(H$11:H238,H238)-1)))</f>
        <v>21</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227</v>
      </c>
      <c r="AF238" t="str">
        <f>VLOOKUP(Profile!$J$5,Families!$C:$R,2,FALSE)</f>
        <v>Cheshire West &amp; Chester</v>
      </c>
      <c r="AG238" s="15">
        <f t="shared" si="100"/>
        <v>100</v>
      </c>
      <c r="AH238" s="46">
        <f t="shared" si="88"/>
        <v>227</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100</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50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228</v>
      </c>
      <c r="AF239" t="str">
        <f>VLOOKUP(Profile!$J$5,Families!$C:$R,2,FALSE)</f>
        <v>Cheshire West &amp; Chester</v>
      </c>
      <c r="AG239" s="15">
        <f t="shared" si="100"/>
        <v>100</v>
      </c>
      <c r="AH239" s="46">
        <f t="shared" si="88"/>
        <v>228</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50</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66.666666666666657</v>
      </c>
      <c r="G240" s="15"/>
      <c r="H240" s="41">
        <f t="shared" si="92"/>
        <v>66.666666666666657</v>
      </c>
      <c r="I240" s="73">
        <f>IF(H240="","",IF($I$8="A",(RANK(H240,H$11:H$333,1)+COUNTIF(H$11:H240,H240)-1),(RANK(H240,H$11:H$333)+COUNTIF(H$11:H240,H240)-1)))</f>
        <v>61</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229</v>
      </c>
      <c r="AF240" t="str">
        <f>VLOOKUP(Profile!$J$5,Families!$C:$R,2,FALSE)</f>
        <v>Cheshire West &amp; Chester</v>
      </c>
      <c r="AG240" s="15">
        <f t="shared" si="100"/>
        <v>100</v>
      </c>
      <c r="AH240" s="46">
        <f t="shared" si="88"/>
        <v>229</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66.666666666666657</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100</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230</v>
      </c>
      <c r="AF241" t="str">
        <f>VLOOKUP(Profile!$J$5,Families!$C:$R,2,FALSE)</f>
        <v>Cheshire West &amp; Chester</v>
      </c>
      <c r="AG241" s="15">
        <f t="shared" si="100"/>
        <v>100</v>
      </c>
      <c r="AH241" s="46">
        <f t="shared" si="88"/>
        <v>230</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100</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77.777777777777786</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231</v>
      </c>
      <c r="AF242" t="str">
        <f>VLOOKUP(Profile!$J$5,Families!$C:$R,2,FALSE)</f>
        <v>Cheshire West &amp; Chester</v>
      </c>
      <c r="AG242" s="15">
        <f t="shared" si="100"/>
        <v>100</v>
      </c>
      <c r="AH242" s="46">
        <f t="shared" si="88"/>
        <v>231</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77.777777777777786</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80</v>
      </c>
      <c r="G243" s="15"/>
      <c r="H243" s="41">
        <f t="shared" si="92"/>
        <v>80</v>
      </c>
      <c r="I243" s="73">
        <f>IF(H243="","",IF($I$8="A",(RANK(H243,H$11:H$333,1)+COUNTIF(H$11:H243,H243)-1),(RANK(H243,H$11:H$333)+COUNTIF(H$11:H243,H243)-1)))</f>
        <v>56</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232</v>
      </c>
      <c r="AF243" t="str">
        <f>VLOOKUP(Profile!$J$5,Families!$C:$R,2,FALSE)</f>
        <v>Cheshire West &amp; Chester</v>
      </c>
      <c r="AG243" s="15">
        <f t="shared" si="100"/>
        <v>100</v>
      </c>
      <c r="AH243" s="46">
        <f t="shared" si="88"/>
        <v>232</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80</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100</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233</v>
      </c>
      <c r="AF244" t="str">
        <f>VLOOKUP(Profile!$J$5,Families!$C:$R,2,FALSE)</f>
        <v>Cheshire West &amp; Chester</v>
      </c>
      <c r="AG244" s="15">
        <f t="shared" si="100"/>
        <v>100</v>
      </c>
      <c r="AH244" s="46">
        <f t="shared" si="88"/>
        <v>233</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100</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89.473684210526315</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234</v>
      </c>
      <c r="AF245" t="str">
        <f>VLOOKUP(Profile!$J$5,Families!$C:$R,2,FALSE)</f>
        <v>Cheshire West &amp; Chester</v>
      </c>
      <c r="AG245" s="15">
        <f t="shared" si="100"/>
        <v>100</v>
      </c>
      <c r="AH245" s="46">
        <f t="shared" si="88"/>
        <v>234</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89.473684210526315</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91.666666666666657</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235</v>
      </c>
      <c r="AF246" t="str">
        <f>VLOOKUP(Profile!$J$5,Families!$C:$R,2,FALSE)</f>
        <v>Cheshire West &amp; Chester</v>
      </c>
      <c r="AG246" s="15">
        <f t="shared" si="100"/>
        <v>100</v>
      </c>
      <c r="AH246" s="46">
        <f t="shared" si="88"/>
        <v>235</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91.666666666666657</v>
      </c>
    </row>
    <row r="247" spans="1:50">
      <c r="A247" s="55" t="str">
        <f>$D$1&amp;237</f>
        <v>UA237</v>
      </c>
      <c r="B247" s="56">
        <f>IF(ISERROR(VLOOKUP(A247,classifications!A:C,3,FALSE)),0,VLOOKUP(A247,classifications!A:C,3,FALSE))</f>
        <v>0</v>
      </c>
      <c r="C247" t="s">
        <v>144</v>
      </c>
      <c r="D247" t="str">
        <f>VLOOKUP($C247,classifications!$C:$J,4,FALSE)</f>
        <v>SD</v>
      </c>
      <c r="E247">
        <f>VLOOKUP(C247,classifications!C:K,9,FALSE)</f>
        <v>0</v>
      </c>
      <c r="F247">
        <f t="shared" si="91"/>
        <v>100</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236</v>
      </c>
      <c r="AF247" t="str">
        <f>VLOOKUP(Profile!$J$5,Families!$C:$R,2,FALSE)</f>
        <v>Cheshire West &amp; Chester</v>
      </c>
      <c r="AG247" s="15">
        <f t="shared" si="100"/>
        <v>100</v>
      </c>
      <c r="AH247" s="46">
        <f t="shared" si="88"/>
        <v>236</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100</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100</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237</v>
      </c>
      <c r="AF248" t="str">
        <f>VLOOKUP(Profile!$J$5,Families!$C:$R,2,FALSE)</f>
        <v>Cheshire West &amp; Chester</v>
      </c>
      <c r="AG248" s="15">
        <f t="shared" si="100"/>
        <v>100</v>
      </c>
      <c r="AH248" s="46">
        <f t="shared" si="88"/>
        <v>237</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100</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0</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238</v>
      </c>
      <c r="AF249" t="str">
        <f>VLOOKUP(Profile!$J$5,Families!$C:$R,2,FALSE)</f>
        <v>Cheshire West &amp; Chester</v>
      </c>
      <c r="AG249" s="15">
        <f t="shared" si="100"/>
        <v>100</v>
      </c>
      <c r="AH249" s="46">
        <f t="shared" si="88"/>
        <v>238</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0</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239</v>
      </c>
      <c r="AF250" t="str">
        <f>VLOOKUP(Profile!$J$5,Families!$C:$R,2,FALSE)</f>
        <v>Cheshire West &amp; Chester</v>
      </c>
      <c r="AG250" s="15">
        <f t="shared" si="100"/>
        <v>100</v>
      </c>
      <c r="AH250" s="46">
        <f t="shared" ref="AH250:AH313" si="112">AE250</f>
        <v>239</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240</v>
      </c>
      <c r="AF251" t="str">
        <f>VLOOKUP(Profile!$J$5,Families!$C:$R,2,FALSE)</f>
        <v>Cheshire West &amp; Chester</v>
      </c>
      <c r="AG251" s="15">
        <f t="shared" si="100"/>
        <v>100</v>
      </c>
      <c r="AH251" s="46">
        <f t="shared" si="112"/>
        <v>240</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f t="shared" si="92"/>
        <v>100</v>
      </c>
      <c r="I252" s="73">
        <f>IF(H252="","",IF($I$8="A",(RANK(H252,H$11:H$333,1)+COUNTIF(H$11:H252,H252)-1),(RANK(H252,H$11:H$333)+COUNTIF(H$11:H252,H252)-1)))</f>
        <v>22</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241</v>
      </c>
      <c r="AF252" t="str">
        <f>VLOOKUP(Profile!$J$5,Families!$C:$R,2,FALSE)</f>
        <v>Cheshire West &amp; Chester</v>
      </c>
      <c r="AG252" s="15">
        <f t="shared" si="100"/>
        <v>100</v>
      </c>
      <c r="AH252" s="46">
        <f t="shared" si="112"/>
        <v>241</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23</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242</v>
      </c>
      <c r="AF253" t="str">
        <f>VLOOKUP(Profile!$J$5,Families!$C:$R,2,FALSE)</f>
        <v>Cheshire West &amp; Chester</v>
      </c>
      <c r="AG253" s="15">
        <f t="shared" si="100"/>
        <v>100</v>
      </c>
      <c r="AH253" s="46">
        <f t="shared" si="112"/>
        <v>242</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100</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243</v>
      </c>
      <c r="AF254" t="str">
        <f>VLOOKUP(Profile!$J$5,Families!$C:$R,2,FALSE)</f>
        <v>Cheshire West &amp; Chester</v>
      </c>
      <c r="AG254" s="15">
        <f t="shared" si="100"/>
        <v>100</v>
      </c>
      <c r="AH254" s="46">
        <f t="shared" si="112"/>
        <v>243</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100</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244</v>
      </c>
      <c r="AF255" t="str">
        <f>VLOOKUP(Profile!$J$5,Families!$C:$R,2,FALSE)</f>
        <v>Cheshire West &amp; Chester</v>
      </c>
      <c r="AG255" s="15">
        <f t="shared" si="100"/>
        <v>100</v>
      </c>
      <c r="AH255" s="46">
        <f t="shared" si="112"/>
        <v>244</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70</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245</v>
      </c>
      <c r="AF256" t="str">
        <f>VLOOKUP(Profile!$J$5,Families!$C:$R,2,FALSE)</f>
        <v>Cheshire West &amp; Chester</v>
      </c>
      <c r="AG256" s="15">
        <f t="shared" si="100"/>
        <v>100</v>
      </c>
      <c r="AH256" s="46">
        <f t="shared" si="112"/>
        <v>245</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70</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100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246</v>
      </c>
      <c r="AF257" t="str">
        <f>VLOOKUP(Profile!$J$5,Families!$C:$R,2,FALSE)</f>
        <v>Cheshire West &amp; Chester</v>
      </c>
      <c r="AG257" s="15">
        <f t="shared" si="100"/>
        <v>100</v>
      </c>
      <c r="AH257" s="46">
        <f t="shared" si="112"/>
        <v>246</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100</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80</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247</v>
      </c>
      <c r="AF258" t="str">
        <f>VLOOKUP(Profile!$J$5,Families!$C:$R,2,FALSE)</f>
        <v>Cheshire West &amp; Chester</v>
      </c>
      <c r="AG258" s="15">
        <f t="shared" si="100"/>
        <v>100</v>
      </c>
      <c r="AH258" s="46">
        <f t="shared" si="112"/>
        <v>247</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80</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248</v>
      </c>
      <c r="AF259" t="str">
        <f>VLOOKUP(Profile!$J$5,Families!$C:$R,2,FALSE)</f>
        <v>Cheshire West &amp; Chester</v>
      </c>
      <c r="AG259" s="15">
        <f t="shared" si="100"/>
        <v>100</v>
      </c>
      <c r="AH259" s="46">
        <f t="shared" si="112"/>
        <v>248</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249</v>
      </c>
      <c r="AF260" t="str">
        <f>VLOOKUP(Profile!$J$5,Families!$C:$R,2,FALSE)</f>
        <v>Cheshire West &amp; Chester</v>
      </c>
      <c r="AG260" s="15">
        <f t="shared" si="100"/>
        <v>100</v>
      </c>
      <c r="AH260" s="46">
        <f t="shared" si="112"/>
        <v>249</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250</v>
      </c>
      <c r="AF261" t="str">
        <f>VLOOKUP(Profile!$J$5,Families!$C:$R,2,FALSE)</f>
        <v>Cheshire West &amp; Chester</v>
      </c>
      <c r="AG261" s="15">
        <f t="shared" si="100"/>
        <v>100</v>
      </c>
      <c r="AH261" s="46">
        <f t="shared" si="112"/>
        <v>250</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251</v>
      </c>
      <c r="AF262" t="str">
        <f>VLOOKUP(Profile!$J$5,Families!$C:$R,2,FALSE)</f>
        <v>Cheshire West &amp; Chester</v>
      </c>
      <c r="AG262" s="15">
        <f t="shared" si="100"/>
        <v>100</v>
      </c>
      <c r="AH262" s="46">
        <f t="shared" si="112"/>
        <v>251</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66.666666666666657</v>
      </c>
      <c r="G263" s="15"/>
      <c r="H263" s="41">
        <f t="shared" si="92"/>
        <v>66.666666666666657</v>
      </c>
      <c r="I263" s="73">
        <f>IF(H263="","",IF($I$8="A",(RANK(H263,H$11:H$333,1)+COUNTIF(H$11:H263,H263)-1),(RANK(H263,H$11:H$333)+COUNTIF(H$11:H263,H263)-1)))</f>
        <v>62</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252</v>
      </c>
      <c r="AF263" t="str">
        <f>VLOOKUP(Profile!$J$5,Families!$C:$R,2,FALSE)</f>
        <v>Cheshire West &amp; Chester</v>
      </c>
      <c r="AG263" s="15">
        <f t="shared" si="100"/>
        <v>100</v>
      </c>
      <c r="AH263" s="46">
        <f t="shared" si="112"/>
        <v>252</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66.666666666666657</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24</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253</v>
      </c>
      <c r="AF264" t="str">
        <f>VLOOKUP(Profile!$J$5,Families!$C:$R,2,FALSE)</f>
        <v>Cheshire West &amp; Chester</v>
      </c>
      <c r="AG264" s="15">
        <f t="shared" si="100"/>
        <v>100</v>
      </c>
      <c r="AH264" s="46">
        <f t="shared" si="112"/>
        <v>253</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88.888888888888886</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254</v>
      </c>
      <c r="AF265" t="str">
        <f>VLOOKUP(Profile!$J$5,Families!$C:$R,2,FALSE)</f>
        <v>Cheshire West &amp; Chester</v>
      </c>
      <c r="AG265" s="15">
        <f t="shared" si="100"/>
        <v>100</v>
      </c>
      <c r="AH265" s="46">
        <f t="shared" si="112"/>
        <v>254</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88.888888888888886</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100</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255</v>
      </c>
      <c r="AF266" t="str">
        <f>VLOOKUP(Profile!$J$5,Families!$C:$R,2,FALSE)</f>
        <v>Cheshire West &amp; Chester</v>
      </c>
      <c r="AG266" s="15">
        <f t="shared" si="100"/>
        <v>100</v>
      </c>
      <c r="AH266" s="46">
        <f t="shared" si="112"/>
        <v>255</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100</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256</v>
      </c>
      <c r="AF267" t="str">
        <f>VLOOKUP(Profile!$J$5,Families!$C:$R,2,FALSE)</f>
        <v>Cheshire West &amp; Chester</v>
      </c>
      <c r="AG267" s="15">
        <f t="shared" si="100"/>
        <v>100</v>
      </c>
      <c r="AH267" s="46">
        <f t="shared" si="112"/>
        <v>256</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257</v>
      </c>
      <c r="AF268" t="str">
        <f>VLOOKUP(Profile!$J$5,Families!$C:$R,2,FALSE)</f>
        <v>Cheshire West &amp; Chester</v>
      </c>
      <c r="AG268" s="15">
        <f t="shared" ref="AG268:AG327" si="124">VLOOKUP(AF268,$C$11:$H$333,4,FALSE)</f>
        <v>100</v>
      </c>
      <c r="AH268" s="46">
        <f t="shared" si="112"/>
        <v>257</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258</v>
      </c>
      <c r="AF269" t="str">
        <f>VLOOKUP(Profile!$J$5,Families!$C:$R,2,FALSE)</f>
        <v>Cheshire West &amp; Chester</v>
      </c>
      <c r="AG269" s="15">
        <f t="shared" si="124"/>
        <v>100</v>
      </c>
      <c r="AH269" s="46">
        <f t="shared" si="112"/>
        <v>258</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100</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259</v>
      </c>
      <c r="AF270" t="str">
        <f>VLOOKUP(Profile!$J$5,Families!$C:$R,2,FALSE)</f>
        <v>Cheshire West &amp; Chester</v>
      </c>
      <c r="AG270" s="15">
        <f t="shared" si="124"/>
        <v>100</v>
      </c>
      <c r="AH270" s="46">
        <f t="shared" si="112"/>
        <v>259</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100</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260</v>
      </c>
      <c r="AF271" t="str">
        <f>VLOOKUP(Profile!$J$5,Families!$C:$R,2,FALSE)</f>
        <v>Cheshire West &amp; Chester</v>
      </c>
      <c r="AG271" s="15">
        <f t="shared" si="124"/>
        <v>100</v>
      </c>
      <c r="AH271" s="46">
        <f t="shared" si="112"/>
        <v>260</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80</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261</v>
      </c>
      <c r="AF272" t="str">
        <f>VLOOKUP(Profile!$J$5,Families!$C:$R,2,FALSE)</f>
        <v>Cheshire West &amp; Chester</v>
      </c>
      <c r="AG272" s="15">
        <f t="shared" si="124"/>
        <v>100</v>
      </c>
      <c r="AH272" s="46">
        <f t="shared" si="112"/>
        <v>261</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80</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83.333333333333343</v>
      </c>
      <c r="G273" s="15"/>
      <c r="H273" s="41">
        <f t="shared" si="116"/>
        <v>83.333333333333343</v>
      </c>
      <c r="I273" s="73">
        <f>IF(H273="","",IF($I$8="A",(RANK(H273,H$11:H$333,1)+COUNTIF(H$11:H273,H273)-1),(RANK(H273,H$11:H$333)+COUNTIF(H$11:H273,H273)-1)))</f>
        <v>50</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262</v>
      </c>
      <c r="AF273" t="str">
        <f>VLOOKUP(Profile!$J$5,Families!$C:$R,2,FALSE)</f>
        <v>Cheshire West &amp; Chester</v>
      </c>
      <c r="AG273" s="15">
        <f t="shared" si="124"/>
        <v>100</v>
      </c>
      <c r="AH273" s="46">
        <f t="shared" si="112"/>
        <v>262</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83.333333333333343</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263</v>
      </c>
      <c r="AF274" t="str">
        <f>VLOOKUP(Profile!$J$5,Families!$C:$R,2,FALSE)</f>
        <v>Cheshire West &amp; Chester</v>
      </c>
      <c r="AG274" s="15">
        <f t="shared" si="124"/>
        <v>100</v>
      </c>
      <c r="AH274" s="46">
        <f t="shared" si="112"/>
        <v>263</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264</v>
      </c>
      <c r="AF275" t="str">
        <f>VLOOKUP(Profile!$J$5,Families!$C:$R,2,FALSE)</f>
        <v>Cheshire West &amp; Chester</v>
      </c>
      <c r="AG275" s="15">
        <f t="shared" si="124"/>
        <v>100</v>
      </c>
      <c r="AH275" s="46">
        <f t="shared" si="112"/>
        <v>264</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100</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265</v>
      </c>
      <c r="AF276" t="str">
        <f>VLOOKUP(Profile!$J$5,Families!$C:$R,2,FALSE)</f>
        <v>Cheshire West &amp; Chester</v>
      </c>
      <c r="AG276" s="15">
        <f t="shared" si="124"/>
        <v>100</v>
      </c>
      <c r="AH276" s="46">
        <f t="shared" si="112"/>
        <v>265</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100</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100</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266</v>
      </c>
      <c r="AF277" t="str">
        <f>VLOOKUP(Profile!$J$5,Families!$C:$R,2,FALSE)</f>
        <v>Cheshire West &amp; Chester</v>
      </c>
      <c r="AG277" s="15">
        <f t="shared" si="124"/>
        <v>100</v>
      </c>
      <c r="AH277" s="46">
        <f t="shared" si="112"/>
        <v>266</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100</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25</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267</v>
      </c>
      <c r="AF278" t="str">
        <f>VLOOKUP(Profile!$J$5,Families!$C:$R,2,FALSE)</f>
        <v>Cheshire West &amp; Chester</v>
      </c>
      <c r="AG278" s="15">
        <f t="shared" si="124"/>
        <v>100</v>
      </c>
      <c r="AH278" s="46">
        <f t="shared" si="112"/>
        <v>267</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90.909090909090907</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268</v>
      </c>
      <c r="AF279" t="str">
        <f>VLOOKUP(Profile!$J$5,Families!$C:$R,2,FALSE)</f>
        <v>Cheshire West &amp; Chester</v>
      </c>
      <c r="AG279" s="15">
        <f t="shared" si="124"/>
        <v>100</v>
      </c>
      <c r="AH279" s="46">
        <f t="shared" si="112"/>
        <v>268</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90.909090909090907</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87.5</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269</v>
      </c>
      <c r="AF280" t="str">
        <f>VLOOKUP(Profile!$J$5,Families!$C:$R,2,FALSE)</f>
        <v>Cheshire West &amp; Chester</v>
      </c>
      <c r="AG280" s="15">
        <f t="shared" si="124"/>
        <v>100</v>
      </c>
      <c r="AH280" s="46">
        <f t="shared" si="112"/>
        <v>269</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87.5</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93.333333333333329</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270</v>
      </c>
      <c r="AF281" t="str">
        <f>VLOOKUP(Profile!$J$5,Families!$C:$R,2,FALSE)</f>
        <v>Cheshire West &amp; Chester</v>
      </c>
      <c r="AG281" s="15">
        <f t="shared" si="124"/>
        <v>100</v>
      </c>
      <c r="AH281" s="46">
        <f t="shared" si="112"/>
        <v>270</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93.333333333333329</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71.428571428571431</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271</v>
      </c>
      <c r="AF282" t="str">
        <f>VLOOKUP(Profile!$J$5,Families!$C:$R,2,FALSE)</f>
        <v>Cheshire West &amp; Chester</v>
      </c>
      <c r="AG282" s="15">
        <f t="shared" si="124"/>
        <v>100</v>
      </c>
      <c r="AH282" s="46">
        <f t="shared" si="112"/>
        <v>271</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71.428571428571431</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272</v>
      </c>
      <c r="AF283" t="str">
        <f>VLOOKUP(Profile!$J$5,Families!$C:$R,2,FALSE)</f>
        <v>Cheshire West &amp; Chester</v>
      </c>
      <c r="AG283" s="15">
        <f t="shared" si="124"/>
        <v>100</v>
      </c>
      <c r="AH283" s="46">
        <f t="shared" si="112"/>
        <v>272</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92.857142857142861</v>
      </c>
      <c r="G284" s="15"/>
      <c r="H284" s="41">
        <f t="shared" si="116"/>
        <v>92.857142857142861</v>
      </c>
      <c r="I284" s="73">
        <f>IF(H284="","",IF($I$8="A",(RANK(H284,H$11:H$333,1)+COUNTIF(H$11:H284,H284)-1),(RANK(H284,H$11:H$333)+COUNTIF(H$11:H284,H284)-1)))</f>
        <v>35</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273</v>
      </c>
      <c r="AF284" t="str">
        <f>VLOOKUP(Profile!$J$5,Families!$C:$R,2,FALSE)</f>
        <v>Cheshire West &amp; Chester</v>
      </c>
      <c r="AG284" s="15">
        <f t="shared" si="124"/>
        <v>100</v>
      </c>
      <c r="AH284" s="46">
        <f t="shared" si="112"/>
        <v>273</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92.857142857142861</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88.888888888888886</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274</v>
      </c>
      <c r="AF285" t="str">
        <f>VLOOKUP(Profile!$J$5,Families!$C:$R,2,FALSE)</f>
        <v>Cheshire West &amp; Chester</v>
      </c>
      <c r="AG285" s="15">
        <f t="shared" si="124"/>
        <v>100</v>
      </c>
      <c r="AH285" s="46">
        <f t="shared" si="112"/>
        <v>274</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88.888888888888886</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75</v>
      </c>
      <c r="G286" s="15"/>
      <c r="H286" s="41">
        <f t="shared" si="116"/>
        <v>75</v>
      </c>
      <c r="I286" s="73">
        <f>IF(H286="","",IF($I$8="A",(RANK(H286,H$11:H$333,1)+COUNTIF(H$11:H286,H286)-1),(RANK(H286,H$11:H$333)+COUNTIF(H$11:H286,H286)-1)))</f>
        <v>60</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275</v>
      </c>
      <c r="AF286" t="str">
        <f>VLOOKUP(Profile!$J$5,Families!$C:$R,2,FALSE)</f>
        <v>Cheshire West &amp; Chester</v>
      </c>
      <c r="AG286" s="15">
        <f t="shared" si="124"/>
        <v>100</v>
      </c>
      <c r="AH286" s="46">
        <f t="shared" si="112"/>
        <v>275</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75</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85.714285714285708</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276</v>
      </c>
      <c r="AF287" t="str">
        <f>VLOOKUP(Profile!$J$5,Families!$C:$R,2,FALSE)</f>
        <v>Cheshire West &amp; Chester</v>
      </c>
      <c r="AG287" s="15">
        <f t="shared" si="124"/>
        <v>100</v>
      </c>
      <c r="AH287" s="46">
        <f t="shared" si="112"/>
        <v>276</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85.714285714285708</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100</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277</v>
      </c>
      <c r="AF288" t="str">
        <f>VLOOKUP(Profile!$J$5,Families!$C:$R,2,FALSE)</f>
        <v>Cheshire West &amp; Chester</v>
      </c>
      <c r="AG288" s="15">
        <f t="shared" si="124"/>
        <v>100</v>
      </c>
      <c r="AH288" s="46">
        <f t="shared" si="112"/>
        <v>277</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100</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278</v>
      </c>
      <c r="AF289" t="str">
        <f>VLOOKUP(Profile!$J$5,Families!$C:$R,2,FALSE)</f>
        <v>Cheshire West &amp; Chester</v>
      </c>
      <c r="AG289" s="15">
        <f t="shared" si="124"/>
        <v>100</v>
      </c>
      <c r="AH289" s="46">
        <f t="shared" si="112"/>
        <v>278</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92.307692307692307</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279</v>
      </c>
      <c r="AF290" t="str">
        <f>VLOOKUP(Profile!$J$5,Families!$C:$R,2,FALSE)</f>
        <v>Cheshire West &amp; Chester</v>
      </c>
      <c r="AG290" s="15">
        <f t="shared" si="124"/>
        <v>100</v>
      </c>
      <c r="AH290" s="46">
        <f t="shared" si="112"/>
        <v>279</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92.307692307692307</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100</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280</v>
      </c>
      <c r="AF291" t="str">
        <f>VLOOKUP(Profile!$J$5,Families!$C:$R,2,FALSE)</f>
        <v>Cheshire West &amp; Chester</v>
      </c>
      <c r="AG291" s="15">
        <f t="shared" si="124"/>
        <v>100</v>
      </c>
      <c r="AH291" s="46">
        <f t="shared" si="112"/>
        <v>280</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100</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100</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281</v>
      </c>
      <c r="AF292" t="str">
        <f>VLOOKUP(Profile!$J$5,Families!$C:$R,2,FALSE)</f>
        <v>Cheshire West &amp; Chester</v>
      </c>
      <c r="AG292" s="15">
        <f t="shared" si="124"/>
        <v>100</v>
      </c>
      <c r="AH292" s="46">
        <f t="shared" si="112"/>
        <v>281</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100</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100</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282</v>
      </c>
      <c r="AF293" t="str">
        <f>VLOOKUP(Profile!$J$5,Families!$C:$R,2,FALSE)</f>
        <v>Cheshire West &amp; Chester</v>
      </c>
      <c r="AG293" s="15">
        <f t="shared" si="124"/>
        <v>100</v>
      </c>
      <c r="AH293" s="46">
        <f t="shared" si="112"/>
        <v>282</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100</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100</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283</v>
      </c>
      <c r="AF294" t="str">
        <f>VLOOKUP(Profile!$J$5,Families!$C:$R,2,FALSE)</f>
        <v>Cheshire West &amp; Chester</v>
      </c>
      <c r="AG294" s="15">
        <f t="shared" si="124"/>
        <v>100</v>
      </c>
      <c r="AH294" s="46">
        <f t="shared" si="112"/>
        <v>283</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100</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284</v>
      </c>
      <c r="AF295" t="str">
        <f>VLOOKUP(Profile!$J$5,Families!$C:$R,2,FALSE)</f>
        <v>Cheshire West &amp; Chester</v>
      </c>
      <c r="AG295" s="15">
        <f t="shared" si="124"/>
        <v>100</v>
      </c>
      <c r="AH295" s="46">
        <f t="shared" si="112"/>
        <v>284</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100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285</v>
      </c>
      <c r="AF296" t="str">
        <f>VLOOKUP(Profile!$J$5,Families!$C:$R,2,FALSE)</f>
        <v>Cheshire West &amp; Chester</v>
      </c>
      <c r="AG296" s="15">
        <f t="shared" si="124"/>
        <v>100</v>
      </c>
      <c r="AH296" s="46">
        <f t="shared" si="112"/>
        <v>285</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100</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100</v>
      </c>
      <c r="G297" s="15"/>
      <c r="H297" s="41">
        <f t="shared" si="116"/>
        <v>100</v>
      </c>
      <c r="I297" s="73">
        <f>IF(H297="","",IF($I$8="A",(RANK(H297,H$11:H$333,1)+COUNTIF(H$11:H297,H297)-1),(RANK(H297,H$11:H$333)+COUNTIF(H$11:H297,H297)-1)))</f>
        <v>26</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286</v>
      </c>
      <c r="AF297" t="str">
        <f>VLOOKUP(Profile!$J$5,Families!$C:$R,2,FALSE)</f>
        <v>Cheshire West &amp; Chester</v>
      </c>
      <c r="AG297" s="15">
        <f t="shared" si="124"/>
        <v>100</v>
      </c>
      <c r="AH297" s="46">
        <f t="shared" si="112"/>
        <v>286</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100</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66.666666666666657</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287</v>
      </c>
      <c r="AF298" t="str">
        <f>VLOOKUP(Profile!$J$5,Families!$C:$R,2,FALSE)</f>
        <v>Cheshire West &amp; Chester</v>
      </c>
      <c r="AG298" s="15">
        <f t="shared" si="124"/>
        <v>100</v>
      </c>
      <c r="AH298" s="46">
        <f t="shared" si="112"/>
        <v>287</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66.666666666666657</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288</v>
      </c>
      <c r="AF299" t="str">
        <f>VLOOKUP(Profile!$J$5,Families!$C:$R,2,FALSE)</f>
        <v>Cheshire West &amp; Chester</v>
      </c>
      <c r="AG299" s="15">
        <f t="shared" si="124"/>
        <v>100</v>
      </c>
      <c r="AH299" s="46">
        <f t="shared" si="112"/>
        <v>288</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289</v>
      </c>
      <c r="AF300" t="str">
        <f>VLOOKUP(Profile!$J$5,Families!$C:$R,2,FALSE)</f>
        <v>Cheshire West &amp; Chester</v>
      </c>
      <c r="AG300" s="15">
        <f t="shared" si="124"/>
        <v>100</v>
      </c>
      <c r="AH300" s="46">
        <f t="shared" si="112"/>
        <v>289</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75</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290</v>
      </c>
      <c r="AF301" t="str">
        <f>VLOOKUP(Profile!$J$5,Families!$C:$R,2,FALSE)</f>
        <v>Cheshire West &amp; Chester</v>
      </c>
      <c r="AG301" s="15">
        <f t="shared" si="124"/>
        <v>100</v>
      </c>
      <c r="AH301" s="46">
        <f t="shared" si="112"/>
        <v>290</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75</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93.75</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291</v>
      </c>
      <c r="AF302" t="str">
        <f>VLOOKUP(Profile!$J$5,Families!$C:$R,2,FALSE)</f>
        <v>Cheshire West &amp; Chester</v>
      </c>
      <c r="AG302" s="15">
        <f t="shared" si="124"/>
        <v>100</v>
      </c>
      <c r="AH302" s="46">
        <f t="shared" si="112"/>
        <v>291</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93.75</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100</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292</v>
      </c>
      <c r="AF303" t="str">
        <f>VLOOKUP(Profile!$J$5,Families!$C:$R,2,FALSE)</f>
        <v>Cheshire West &amp; Chester</v>
      </c>
      <c r="AG303" s="15">
        <f t="shared" si="124"/>
        <v>100</v>
      </c>
      <c r="AH303" s="46">
        <f t="shared" si="112"/>
        <v>292</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100</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100</v>
      </c>
      <c r="G304" s="15"/>
      <c r="H304" s="41">
        <f t="shared" si="116"/>
        <v>100</v>
      </c>
      <c r="I304" s="73">
        <f>IF(H304="","",IF($I$8="A",(RANK(H304,H$11:H$333,1)+COUNTIF(H$11:H304,H304)-1),(RANK(H304,H$11:H$333)+COUNTIF(H$11:H304,H304)-1)))</f>
        <v>27</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293</v>
      </c>
      <c r="AF304" t="str">
        <f>VLOOKUP(Profile!$J$5,Families!$C:$R,2,FALSE)</f>
        <v>Cheshire West &amp; Chester</v>
      </c>
      <c r="AG304" s="15">
        <f t="shared" si="124"/>
        <v>100</v>
      </c>
      <c r="AH304" s="46">
        <f t="shared" si="112"/>
        <v>293</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100</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80</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294</v>
      </c>
      <c r="AF305" t="str">
        <f>VLOOKUP(Profile!$J$5,Families!$C:$R,2,FALSE)</f>
        <v>Cheshire West &amp; Chester</v>
      </c>
      <c r="AG305" s="15">
        <f t="shared" si="124"/>
        <v>100</v>
      </c>
      <c r="AH305" s="46">
        <f t="shared" si="112"/>
        <v>294</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80</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100</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295</v>
      </c>
      <c r="AF306" t="str">
        <f>VLOOKUP(Profile!$J$5,Families!$C:$R,2,FALSE)</f>
        <v>Cheshire West &amp; Chester</v>
      </c>
      <c r="AG306" s="15">
        <f t="shared" si="124"/>
        <v>100</v>
      </c>
      <c r="AH306" s="46">
        <f t="shared" si="112"/>
        <v>295</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100</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100</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296</v>
      </c>
      <c r="AF307" t="str">
        <f>VLOOKUP(Profile!$J$5,Families!$C:$R,2,FALSE)</f>
        <v>Cheshire West &amp; Chester</v>
      </c>
      <c r="AG307" s="15">
        <f t="shared" si="124"/>
        <v>100</v>
      </c>
      <c r="AH307" s="46">
        <f t="shared" si="112"/>
        <v>296</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100</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83.333333333333343</v>
      </c>
      <c r="G308" s="15"/>
      <c r="H308" s="41">
        <f t="shared" si="116"/>
        <v>83.333333333333343</v>
      </c>
      <c r="I308" s="73">
        <f>IF(H308="","",IF($I$8="A",(RANK(H308,H$11:H$333,1)+COUNTIF(H$11:H308,H308)-1),(RANK(H308,H$11:H$333)+COUNTIF(H$11:H308,H308)-1)))</f>
        <v>51</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297</v>
      </c>
      <c r="AF308" t="str">
        <f>VLOOKUP(Profile!$J$5,Families!$C:$R,2,FALSE)</f>
        <v>Cheshire West &amp; Chester</v>
      </c>
      <c r="AG308" s="15">
        <f t="shared" si="124"/>
        <v>100</v>
      </c>
      <c r="AH308" s="46">
        <f t="shared" si="112"/>
        <v>297</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83.333333333333343</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100</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298</v>
      </c>
      <c r="AF309" t="str">
        <f>VLOOKUP(Profile!$J$5,Families!$C:$R,2,FALSE)</f>
        <v>Cheshire West &amp; Chester</v>
      </c>
      <c r="AG309" s="15">
        <f t="shared" si="124"/>
        <v>100</v>
      </c>
      <c r="AH309" s="46">
        <f t="shared" si="112"/>
        <v>298</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100</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92.307692307692307</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299</v>
      </c>
      <c r="AF310" t="str">
        <f>VLOOKUP(Profile!$J$5,Families!$C:$R,2,FALSE)</f>
        <v>Cheshire West &amp; Chester</v>
      </c>
      <c r="AG310" s="15">
        <f t="shared" si="124"/>
        <v>100</v>
      </c>
      <c r="AH310" s="46">
        <f t="shared" si="112"/>
        <v>299</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92.307692307692307</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300</v>
      </c>
      <c r="AF311" t="str">
        <f>VLOOKUP(Profile!$J$5,Families!$C:$R,2,FALSE)</f>
        <v>Cheshire West &amp; Chester</v>
      </c>
      <c r="AG311" s="15">
        <f t="shared" si="124"/>
        <v>100</v>
      </c>
      <c r="AH311" s="46">
        <f t="shared" si="112"/>
        <v>300</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90</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301</v>
      </c>
      <c r="AF312" t="str">
        <f>VLOOKUP(Profile!$J$5,Families!$C:$R,2,FALSE)</f>
        <v>Cheshire West &amp; Chester</v>
      </c>
      <c r="AG312" s="15">
        <f t="shared" si="124"/>
        <v>100</v>
      </c>
      <c r="AH312" s="46">
        <f t="shared" si="112"/>
        <v>301</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90</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100</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302</v>
      </c>
      <c r="AF313" t="str">
        <f>VLOOKUP(Profile!$J$5,Families!$C:$R,2,FALSE)</f>
        <v>Cheshire West &amp; Chester</v>
      </c>
      <c r="AG313" s="15">
        <f t="shared" si="124"/>
        <v>100</v>
      </c>
      <c r="AH313" s="46">
        <f t="shared" si="112"/>
        <v>302</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100</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100</v>
      </c>
      <c r="G314" s="15"/>
      <c r="H314" s="41">
        <f t="shared" si="116"/>
        <v>100</v>
      </c>
      <c r="I314" s="73">
        <f>IF(H314="","",IF($I$8="A",(RANK(H314,H$11:H$333,1)+COUNTIF(H$11:H314,H314)-1),(RANK(H314,H$11:H$333)+COUNTIF(H$11:H314,H314)-1)))</f>
        <v>28</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303</v>
      </c>
      <c r="AF314" t="str">
        <f>VLOOKUP(Profile!$J$5,Families!$C:$R,2,FALSE)</f>
        <v>Cheshire West &amp; Chester</v>
      </c>
      <c r="AG314" s="15">
        <f t="shared" si="124"/>
        <v>100</v>
      </c>
      <c r="AH314" s="46">
        <f t="shared" ref="AH314:AH327" si="136">AE314</f>
        <v>303</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100</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83.333333333333343</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304</v>
      </c>
      <c r="AF315" t="str">
        <f>VLOOKUP(Profile!$J$5,Families!$C:$R,2,FALSE)</f>
        <v>Cheshire West &amp; Chester</v>
      </c>
      <c r="AG315" s="15">
        <f t="shared" si="124"/>
        <v>100</v>
      </c>
      <c r="AH315" s="46">
        <f t="shared" si="136"/>
        <v>304</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83.333333333333343</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77.777777777777786</v>
      </c>
      <c r="G316" s="15"/>
      <c r="H316" s="41">
        <f t="shared" si="116"/>
        <v>77.777777777777786</v>
      </c>
      <c r="I316" s="73">
        <f>IF(H316="","",IF($I$8="A",(RANK(H316,H$11:H$333,1)+COUNTIF(H$11:H316,H316)-1),(RANK(H316,H$11:H$333)+COUNTIF(H$11:H316,H316)-1)))</f>
        <v>57</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305</v>
      </c>
      <c r="AF316" t="str">
        <f>VLOOKUP(Profile!$J$5,Families!$C:$R,2,FALSE)</f>
        <v>Cheshire West &amp; Chester</v>
      </c>
      <c r="AG316" s="15">
        <f t="shared" si="124"/>
        <v>100</v>
      </c>
      <c r="AH316" s="46">
        <f t="shared" si="136"/>
        <v>305</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77.777777777777786</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85.714285714285708</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306</v>
      </c>
      <c r="AF317" t="str">
        <f>VLOOKUP(Profile!$J$5,Families!$C:$R,2,FALSE)</f>
        <v>Cheshire West &amp; Chester</v>
      </c>
      <c r="AG317" s="15">
        <f t="shared" si="124"/>
        <v>100</v>
      </c>
      <c r="AH317" s="46">
        <f t="shared" si="136"/>
        <v>306</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85.714285714285708</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307</v>
      </c>
      <c r="AF318" t="str">
        <f>VLOOKUP(Profile!$J$5,Families!$C:$R,2,FALSE)</f>
        <v>Cheshire West &amp; Chester</v>
      </c>
      <c r="AG318" s="15">
        <f t="shared" si="124"/>
        <v>100</v>
      </c>
      <c r="AH318" s="46">
        <f t="shared" si="136"/>
        <v>307</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f t="shared" si="116"/>
        <v>100</v>
      </c>
      <c r="I319" s="73">
        <f>IF(H319="","",IF($I$8="A",(RANK(H319,H$11:H$333,1)+COUNTIF(H$11:H319,H319)-1),(RANK(H319,H$11:H$333)+COUNTIF(H$11:H319,H319)-1)))</f>
        <v>29</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308</v>
      </c>
      <c r="AF319" t="str">
        <f>VLOOKUP(Profile!$J$5,Families!$C:$R,2,FALSE)</f>
        <v>Cheshire West &amp; Chester</v>
      </c>
      <c r="AG319" s="15">
        <f t="shared" si="124"/>
        <v>100</v>
      </c>
      <c r="AH319" s="46">
        <f t="shared" si="136"/>
        <v>308</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309</v>
      </c>
      <c r="AF320" t="str">
        <f>VLOOKUP(Profile!$J$5,Families!$C:$R,2,FALSE)</f>
        <v>Cheshire West &amp; Chester</v>
      </c>
      <c r="AG320" s="15">
        <f t="shared" si="124"/>
        <v>100</v>
      </c>
      <c r="AH320" s="46">
        <f t="shared" si="136"/>
        <v>309</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310</v>
      </c>
      <c r="AF321" t="str">
        <f>VLOOKUP(Profile!$J$5,Families!$C:$R,2,FALSE)</f>
        <v>Cheshire West &amp; Chester</v>
      </c>
      <c r="AG321" s="15">
        <f t="shared" si="124"/>
        <v>100</v>
      </c>
      <c r="AH321" s="46">
        <f t="shared" si="136"/>
        <v>310</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311</v>
      </c>
      <c r="AF322" t="str">
        <f>VLOOKUP(Profile!$J$5,Families!$C:$R,2,FALSE)</f>
        <v>Cheshire West &amp; Chester</v>
      </c>
      <c r="AG322" s="15">
        <f t="shared" si="124"/>
        <v>100</v>
      </c>
      <c r="AH322" s="46">
        <f t="shared" si="136"/>
        <v>311</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312</v>
      </c>
      <c r="AF323" t="str">
        <f>VLOOKUP(Profile!$J$5,Families!$C:$R,2,FALSE)</f>
        <v>Cheshire West &amp; Chester</v>
      </c>
      <c r="AG323" s="15">
        <f t="shared" si="124"/>
        <v>100</v>
      </c>
      <c r="AH323" s="46">
        <f t="shared" si="136"/>
        <v>312</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72.727272727272734</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313</v>
      </c>
      <c r="AF324" t="str">
        <f>VLOOKUP(Profile!$J$5,Families!$C:$R,2,FALSE)</f>
        <v>Cheshire West &amp; Chester</v>
      </c>
      <c r="AG324" s="15">
        <f t="shared" si="124"/>
        <v>100</v>
      </c>
      <c r="AH324" s="46">
        <f t="shared" si="136"/>
        <v>313</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72.727272727272734</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80</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314</v>
      </c>
      <c r="AF325" t="str">
        <f>VLOOKUP(Profile!$J$5,Families!$C:$R,2,FALSE)</f>
        <v>Cheshire West &amp; Chester</v>
      </c>
      <c r="AG325" s="15">
        <f t="shared" si="124"/>
        <v>100</v>
      </c>
      <c r="AH325" s="46">
        <f t="shared" si="136"/>
        <v>314</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80</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100</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315</v>
      </c>
      <c r="AF326" t="str">
        <f>VLOOKUP(Profile!$J$5,Families!$C:$R,2,FALSE)</f>
        <v>Cheshire West &amp; Chester</v>
      </c>
      <c r="AG326" s="15">
        <f t="shared" si="124"/>
        <v>100</v>
      </c>
      <c r="AH326" s="46">
        <f t="shared" si="136"/>
        <v>315</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100</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100</v>
      </c>
      <c r="G327" s="15"/>
      <c r="H327" s="41">
        <f t="shared" si="116"/>
        <v>100</v>
      </c>
      <c r="I327" s="73">
        <f>IF(H327="","",IF($I$8="A",(RANK(H327,H$11:H$333,1)+COUNTIF(H$11:H327,H327)-1),(RANK(H327,H$11:H$333)+COUNTIF(H$11:H327,H327)-1)))</f>
        <v>30</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316</v>
      </c>
      <c r="AF327" t="str">
        <f>VLOOKUP(Profile!$J$5,Families!$C:$R,2,FALSE)</f>
        <v>Cheshire West &amp; Chester</v>
      </c>
      <c r="AG327" s="15">
        <f t="shared" si="124"/>
        <v>100</v>
      </c>
      <c r="AH327" s="46">
        <f t="shared" si="136"/>
        <v>316</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100</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4" sqref="F4: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c r="F3" t="s">
        <v>905</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114" workbookViewId="0">
      <selection activeCell="C122" sqref="C122"/>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time2024 Q1</v>
      </c>
      <c r="D1" s="136" t="str">
        <f t="shared" ref="D1:BI1" si="0">D4&amp;D5</f>
        <v>Minor Developments - % decisions in time2024 Q1</v>
      </c>
      <c r="E1" s="136" t="str">
        <f t="shared" si="0"/>
        <v>Other Developments - % decisions in time2024 Q1</v>
      </c>
      <c r="F1" s="136" t="str">
        <f t="shared" si="0"/>
        <v>Major Developments - % decisions in time2024 Q2</v>
      </c>
      <c r="G1" s="136" t="str">
        <f t="shared" si="0"/>
        <v>Minor Developments - % decisions in time2024 Q2</v>
      </c>
      <c r="H1" s="136" t="str">
        <f t="shared" si="0"/>
        <v>Other Developments - % decisions in time2024 Q2</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t="s">
        <v>901</v>
      </c>
      <c r="G4" s="232" t="s">
        <v>902</v>
      </c>
      <c r="H4" s="232" t="s">
        <v>903</v>
      </c>
      <c r="I4" s="232"/>
      <c r="J4" s="232"/>
      <c r="K4" s="232"/>
      <c r="L4" s="232"/>
      <c r="M4" s="232"/>
      <c r="N4" s="23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t="s">
        <v>905</v>
      </c>
      <c r="G5" t="s">
        <v>905</v>
      </c>
      <c r="H5" t="s">
        <v>905</v>
      </c>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95</v>
      </c>
      <c r="E7">
        <v>100</v>
      </c>
      <c r="F7"/>
      <c r="G7">
        <v>89.473684210526315</v>
      </c>
      <c r="H7">
        <v>91.139240506329116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91.954022988505741</v>
      </c>
      <c r="E8">
        <v>98.742138364779876</v>
      </c>
      <c r="F8">
        <v>100</v>
      </c>
      <c r="G8">
        <v>98.461538461538467</v>
      </c>
      <c r="H8">
        <v>100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71.428571428571431</v>
      </c>
      <c r="D9">
        <v>92.857142857142861</v>
      </c>
      <c r="E9">
        <v>98.780487804878049</v>
      </c>
      <c r="F9">
        <v>87.5</v>
      </c>
      <c r="G9">
        <v>95.833333333333343</v>
      </c>
      <c r="H9">
        <v>96.703296703296701</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80</v>
      </c>
      <c r="D10">
        <v>97.5</v>
      </c>
      <c r="E10">
        <v>94.029850746268664</v>
      </c>
      <c r="F10">
        <v>100</v>
      </c>
      <c r="G10">
        <v>90</v>
      </c>
      <c r="H10">
        <v>98.666666666666671</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90.909090909090907</v>
      </c>
      <c r="D11">
        <v>79.047619047619051</v>
      </c>
      <c r="E11">
        <v>95.808383233532936</v>
      </c>
      <c r="F11">
        <v>100</v>
      </c>
      <c r="G11">
        <v>82.5</v>
      </c>
      <c r="H11">
        <v>94.857142857142861</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66.666666666666657</v>
      </c>
      <c r="D12">
        <v>82.456140350877192</v>
      </c>
      <c r="E12">
        <v>94.117647058823522</v>
      </c>
      <c r="F12">
        <v>100</v>
      </c>
      <c r="G12">
        <v>89.285714285714292</v>
      </c>
      <c r="H12">
        <v>97.41935483870968</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82.727272727272734</v>
      </c>
      <c r="E14">
        <v>87.110187110187113</v>
      </c>
      <c r="F14">
        <v>93.333333333333329</v>
      </c>
      <c r="G14">
        <v>88.47926267281106</v>
      </c>
      <c r="H14">
        <v>91.558441558441558</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94.642857142857139</v>
      </c>
      <c r="E15">
        <v>96.511627906976756</v>
      </c>
      <c r="F15">
        <v>100</v>
      </c>
      <c r="G15">
        <v>97.058823529411768</v>
      </c>
      <c r="H15">
        <v>94.73684210526315</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63.888888888888886</v>
      </c>
      <c r="E16">
        <v>74.149659863945587</v>
      </c>
      <c r="F16">
        <v>80</v>
      </c>
      <c r="G16">
        <v>62.857142857142854</v>
      </c>
      <c r="H16">
        <v>86.231884057971016</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100</v>
      </c>
      <c r="D17">
        <v>78.787878787878782</v>
      </c>
      <c r="E17">
        <v>87.700534759358277</v>
      </c>
      <c r="F17">
        <v>77.777777777777786</v>
      </c>
      <c r="G17">
        <v>69.047619047619051</v>
      </c>
      <c r="H17">
        <v>80.219780219780219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100</v>
      </c>
      <c r="D18">
        <v>88.405797101449281</v>
      </c>
      <c r="E18">
        <v>79.347826086956516</v>
      </c>
      <c r="F18">
        <v>90</v>
      </c>
      <c r="G18">
        <v>84.615384615384613</v>
      </c>
      <c r="H18">
        <v>84.297520661157023</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100</v>
      </c>
      <c r="D19">
        <v>85.542168674698786</v>
      </c>
      <c r="E19">
        <v>85.668789808917197</v>
      </c>
      <c r="F19">
        <v>100</v>
      </c>
      <c r="G19">
        <v>85.714285714285708</v>
      </c>
      <c r="H19">
        <v>80.747126436781613</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82.608695652173907</v>
      </c>
      <c r="D20">
        <v>76.271186440677965</v>
      </c>
      <c r="E20">
        <v>85.567010309278345</v>
      </c>
      <c r="F20">
        <v>100</v>
      </c>
      <c r="G20">
        <v>74.285714285714292</v>
      </c>
      <c r="H20">
        <v>90.686274509803923</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90.740740740740748</v>
      </c>
      <c r="E21">
        <v>95.925925925925924</v>
      </c>
      <c r="F21">
        <v>100</v>
      </c>
      <c r="G21">
        <v>86.956521739130437</v>
      </c>
      <c r="H21">
        <v>96.428571428571431</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83.870967741935488</v>
      </c>
      <c r="D22">
        <v>91.803278688524586</v>
      </c>
      <c r="E22">
        <v>85.190615835777123</v>
      </c>
      <c r="F22">
        <v>95.833333333333343</v>
      </c>
      <c r="G22">
        <v>86.868686868686879</v>
      </c>
      <c r="H22">
        <v>84.350547730829419</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93.103448275862064</v>
      </c>
      <c r="E23">
        <v>95.604395604395606</v>
      </c>
      <c r="F23">
        <v>100</v>
      </c>
      <c r="G23">
        <v>96.296296296296291</v>
      </c>
      <c r="H23">
        <v>98.901098901098905</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97.5</v>
      </c>
      <c r="E24">
        <v>100</v>
      </c>
      <c r="F24">
        <v>100</v>
      </c>
      <c r="G24">
        <v>100</v>
      </c>
      <c r="H24">
        <v>100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100</v>
      </c>
      <c r="D25">
        <v>83.333333333333343</v>
      </c>
      <c r="E25">
        <v>87.931034482758619</v>
      </c>
      <c r="F25">
        <v>80</v>
      </c>
      <c r="G25">
        <v>88.235294117647058</v>
      </c>
      <c r="H25">
        <v>86.956521739130437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100</v>
      </c>
      <c r="E26">
        <v>95.744680851063833</v>
      </c>
      <c r="F26">
        <v>100</v>
      </c>
      <c r="G26">
        <v>96.15384615384616</v>
      </c>
      <c r="H26">
        <v>98.181818181818187</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93.333333333333329</v>
      </c>
      <c r="D27">
        <v>89.090909090909093</v>
      </c>
      <c r="E27">
        <v>92.982456140350877</v>
      </c>
      <c r="F27">
        <v>83.333333333333343</v>
      </c>
      <c r="G27">
        <v>96</v>
      </c>
      <c r="H27">
        <v>95.416666666666671</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100</v>
      </c>
      <c r="D28">
        <v>92.307692307692307</v>
      </c>
      <c r="E28">
        <v>93.181818181818173</v>
      </c>
      <c r="F28">
        <v>87.5</v>
      </c>
      <c r="G28">
        <v>96.15384615384616</v>
      </c>
      <c r="H28">
        <v>92.592592592592595</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70.588235294117652</v>
      </c>
      <c r="D29">
        <v>79.43925233644859</v>
      </c>
      <c r="E29">
        <v>85.488126649076506</v>
      </c>
      <c r="F29">
        <v>86.206896551724128</v>
      </c>
      <c r="G29">
        <v>80</v>
      </c>
      <c r="H29">
        <v>93.670886075949369</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100</v>
      </c>
      <c r="D30">
        <v>87.5</v>
      </c>
      <c r="E30">
        <v>95.535714285714292</v>
      </c>
      <c r="F30">
        <v>100</v>
      </c>
      <c r="G30">
        <v>87.878787878787875</v>
      </c>
      <c r="H30">
        <v>93.396226415094347</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88.888888888888886</v>
      </c>
      <c r="D31">
        <v>87.58169934640523</v>
      </c>
      <c r="E31">
        <v>92.368421052631575</v>
      </c>
      <c r="F31">
        <v>71.428571428571431</v>
      </c>
      <c r="G31">
        <v>91.228070175438589</v>
      </c>
      <c r="H31">
        <v>90.707070707070699</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71.428571428571431</v>
      </c>
      <c r="D32">
        <v>73.333333333333329</v>
      </c>
      <c r="E32">
        <v>94.701986754966882</v>
      </c>
      <c r="F32">
        <v>100</v>
      </c>
      <c r="G32">
        <v>89.285714285714292</v>
      </c>
      <c r="H32">
        <v>94.413407821229043</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93.333333333333329</v>
      </c>
      <c r="D33">
        <v>87.341772151898738</v>
      </c>
      <c r="E33">
        <v>99.173553719008268</v>
      </c>
      <c r="F33">
        <v>100</v>
      </c>
      <c r="G33">
        <v>97.402597402597408</v>
      </c>
      <c r="H33">
        <v>96.946564885496173</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75.177304964539005</v>
      </c>
      <c r="E34">
        <v>81.761006289308185</v>
      </c>
      <c r="F34">
        <v>100</v>
      </c>
      <c r="G34">
        <v>86.577181208053688</v>
      </c>
      <c r="H34">
        <v>86.013986013986013</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50</v>
      </c>
      <c r="D35">
        <v>93.877551020408163</v>
      </c>
      <c r="E35">
        <v>97.368421052631575</v>
      </c>
      <c r="F35">
        <v>100</v>
      </c>
      <c r="G35">
        <v>90.476190476190482</v>
      </c>
      <c r="H35">
        <v>93.442622950819683</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100</v>
      </c>
      <c r="D36">
        <v>93.006993006993014</v>
      </c>
      <c r="E36">
        <v>86.995515695067255</v>
      </c>
      <c r="F36">
        <v>81.818181818181827</v>
      </c>
      <c r="G36">
        <v>94.193548387096769</v>
      </c>
      <c r="H36">
        <v>91.701244813278009</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75</v>
      </c>
      <c r="D37">
        <v>38.655462184873954</v>
      </c>
      <c r="E37">
        <v>45.950704225352112</v>
      </c>
      <c r="F37">
        <v>94.444444444444443</v>
      </c>
      <c r="G37">
        <v>57.964601769911503</v>
      </c>
      <c r="H37">
        <v>76.305220883534147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92.307692307692307</v>
      </c>
      <c r="D38">
        <v>88.095238095238088</v>
      </c>
      <c r="E38">
        <v>96</v>
      </c>
      <c r="F38">
        <v>100</v>
      </c>
      <c r="G38">
        <v>82.692307692307693</v>
      </c>
      <c r="H38">
        <v>96</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74.545454545454547</v>
      </c>
      <c r="E39">
        <v>83.870967741935488</v>
      </c>
      <c r="F39">
        <v>100</v>
      </c>
      <c r="G39">
        <v>84.090909090909093</v>
      </c>
      <c r="H39">
        <v>88.073394495412856</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75</v>
      </c>
      <c r="D40">
        <v>88.095238095238088</v>
      </c>
      <c r="E40">
        <v>92.307692307692307</v>
      </c>
      <c r="F40">
        <v>75</v>
      </c>
      <c r="G40">
        <v>76.923076923076934</v>
      </c>
      <c r="H40">
        <v>90.816326530612244</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66.666666666666657</v>
      </c>
      <c r="D41">
        <v>94.444444444444443</v>
      </c>
      <c r="E41">
        <v>93</v>
      </c>
      <c r="F41">
        <v>100</v>
      </c>
      <c r="G41">
        <v>95.833333333333343</v>
      </c>
      <c r="H41">
        <v>96.808510638297875</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100</v>
      </c>
      <c r="D42">
        <v>88.888888888888886</v>
      </c>
      <c r="E42">
        <v>96.739130434782609</v>
      </c>
      <c r="F42">
        <v>100</v>
      </c>
      <c r="G42">
        <v>86.666666666666671</v>
      </c>
      <c r="H42">
        <v>98.198198198198199</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89.795918367346943</v>
      </c>
      <c r="D43">
        <v>90.661478599221795</v>
      </c>
      <c r="E43">
        <v>93.325526932084315</v>
      </c>
      <c r="F43">
        <v>93.023255813953483</v>
      </c>
      <c r="G43">
        <v>91.085271317829452</v>
      </c>
      <c r="H43">
        <v>94.797086368366294</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100</v>
      </c>
      <c r="E44">
        <v>96.774193548387103</v>
      </c>
      <c r="F44">
        <v>100</v>
      </c>
      <c r="G44">
        <v>96.15384615384616</v>
      </c>
      <c r="H44">
        <v>100</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97.727272727272734</v>
      </c>
      <c r="E46">
        <v>98.170731707317074</v>
      </c>
      <c r="F46">
        <v>100</v>
      </c>
      <c r="G46">
        <v>92.156862745098039</v>
      </c>
      <c r="H46">
        <v>95.081967213114751</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90</v>
      </c>
      <c r="D47">
        <v>96.15384615384616</v>
      </c>
      <c r="E47">
        <v>95.180722891566262</v>
      </c>
      <c r="F47">
        <v>90.909090909090907</v>
      </c>
      <c r="G47">
        <v>87.931034482758619</v>
      </c>
      <c r="H47">
        <v>95.744680851063833</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87.5</v>
      </c>
      <c r="E48">
        <v>76.555023923444978</v>
      </c>
      <c r="F48">
        <v>100</v>
      </c>
      <c r="G48">
        <v>86.111111111111114</v>
      </c>
      <c r="H48">
        <v>74.920634920634924</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100</v>
      </c>
      <c r="D49">
        <v>83.333333333333343</v>
      </c>
      <c r="E49">
        <v>96.296296296296291</v>
      </c>
      <c r="F49"/>
      <c r="G49">
        <v>95.652173913043484</v>
      </c>
      <c r="H49">
        <v>95.238095238095227</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72.222222222222214</v>
      </c>
      <c r="E50">
        <v>62.121212121212125</v>
      </c>
      <c r="F50">
        <v>100</v>
      </c>
      <c r="G50">
        <v>61.702127659574465</v>
      </c>
      <c r="H50">
        <v>56.129032258064512</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100</v>
      </c>
      <c r="D51">
        <v>100</v>
      </c>
      <c r="E51">
        <v>100</v>
      </c>
      <c r="F51">
        <v>100</v>
      </c>
      <c r="G51">
        <v>100</v>
      </c>
      <c r="H51">
        <v>98.550724637681171</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88.888888888888886</v>
      </c>
      <c r="D52">
        <v>88.571428571428569</v>
      </c>
      <c r="E52">
        <v>97.222222222222214</v>
      </c>
      <c r="F52">
        <v>85.18518518518519</v>
      </c>
      <c r="G52">
        <v>78.94736842105263</v>
      </c>
      <c r="H52">
        <v>96.039603960396036</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87.037037037037038</v>
      </c>
      <c r="E53">
        <v>97.448979591836732</v>
      </c>
      <c r="F53">
        <v>75</v>
      </c>
      <c r="G53">
        <v>89.361702127659569</v>
      </c>
      <c r="H53">
        <v>96.464646464646464</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88.888888888888886</v>
      </c>
      <c r="D54">
        <v>92.045454545454547</v>
      </c>
      <c r="E54">
        <v>97.119341563786008</v>
      </c>
      <c r="F54">
        <v>60</v>
      </c>
      <c r="G54">
        <v>91.549295774647888</v>
      </c>
      <c r="H54">
        <v>97.046413502109701</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100</v>
      </c>
      <c r="D55">
        <v>87.037037037037038</v>
      </c>
      <c r="E55">
        <v>93.442622950819683</v>
      </c>
      <c r="F55">
        <v>85.714285714285708</v>
      </c>
      <c r="G55">
        <v>88.095238095238088</v>
      </c>
      <c r="H55">
        <v>87.564766839378237</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80</v>
      </c>
      <c r="D56">
        <v>77.319587628865989</v>
      </c>
      <c r="E56">
        <v>79.91266375545851</v>
      </c>
      <c r="F56">
        <v>93.75</v>
      </c>
      <c r="G56">
        <v>84.313725490196077</v>
      </c>
      <c r="H56">
        <v>84.444444444444443</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83.098591549295776</v>
      </c>
      <c r="E57">
        <v>90.191387559808618</v>
      </c>
      <c r="F57">
        <v>91.666666666666657</v>
      </c>
      <c r="G57">
        <v>85.263157894736835</v>
      </c>
      <c r="H57">
        <v>91.484184914841848</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84.615384615384613</v>
      </c>
      <c r="D58">
        <v>87.41721854304636</v>
      </c>
      <c r="E58">
        <v>90.615835777126094</v>
      </c>
      <c r="F58">
        <v>100</v>
      </c>
      <c r="G58">
        <v>86.58536585365853</v>
      </c>
      <c r="H58">
        <v>89.84375</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100</v>
      </c>
      <c r="E59">
        <v>93.84615384615384</v>
      </c>
      <c r="F59">
        <v>100</v>
      </c>
      <c r="G59">
        <v>89.473684210526315</v>
      </c>
      <c r="H59">
        <v>83.82352941176471</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81.818181818181827</v>
      </c>
      <c r="D60">
        <v>85</v>
      </c>
      <c r="E60">
        <v>93.125</v>
      </c>
      <c r="F60">
        <v>80</v>
      </c>
      <c r="G60">
        <v>92.682926829268297</v>
      </c>
      <c r="H60">
        <v>91.875</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66.666666666666657</v>
      </c>
      <c r="D61">
        <v>100</v>
      </c>
      <c r="E61">
        <v>98.837209302325576</v>
      </c>
      <c r="F61">
        <v>100</v>
      </c>
      <c r="G61">
        <v>97.142857142857139</v>
      </c>
      <c r="H61">
        <v>100</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72.093023255813947</v>
      </c>
      <c r="E62">
        <v>83.116883116883116</v>
      </c>
      <c r="F62">
        <v>100</v>
      </c>
      <c r="G62">
        <v>82.926829268292678</v>
      </c>
      <c r="H62">
        <v>81.034482758620683</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95.833333333333343</v>
      </c>
      <c r="E63">
        <v>98.571428571428584</v>
      </c>
      <c r="F63">
        <v>100</v>
      </c>
      <c r="G63">
        <v>96.296296296296291</v>
      </c>
      <c r="H63">
        <v>97.551020408163268</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82.926829268292678</v>
      </c>
      <c r="D64">
        <v>87.587412587412587</v>
      </c>
      <c r="E64">
        <v>90.846047156726769</v>
      </c>
      <c r="F64">
        <v>100</v>
      </c>
      <c r="G64">
        <v>91.12627986348123</v>
      </c>
      <c r="H64">
        <v>94.94047619047619</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100</v>
      </c>
      <c r="D65">
        <v>84.042553191489361</v>
      </c>
      <c r="E65">
        <v>84.108527131782949</v>
      </c>
      <c r="F65">
        <v>100</v>
      </c>
      <c r="G65">
        <v>90</v>
      </c>
      <c r="H65">
        <v>85.251798561151077</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87.628865979381445</v>
      </c>
      <c r="E66">
        <v>94.21052631578948</v>
      </c>
      <c r="F66">
        <v>100</v>
      </c>
      <c r="G66">
        <v>91.304347826086953</v>
      </c>
      <c r="H66">
        <v>93.142857142857139</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100</v>
      </c>
      <c r="D67">
        <v>91.666666666666657</v>
      </c>
      <c r="E67">
        <v>92.982456140350877</v>
      </c>
      <c r="F67">
        <v>100</v>
      </c>
      <c r="G67">
        <v>100</v>
      </c>
      <c r="H67">
        <v>95.945945945945937</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79.545454545454547</v>
      </c>
      <c r="E68">
        <v>89.761092150170654</v>
      </c>
      <c r="F68">
        <v>100</v>
      </c>
      <c r="G68">
        <v>80.952380952380949</v>
      </c>
      <c r="H68">
        <v>91.459074733096088</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70</v>
      </c>
      <c r="D69">
        <v>83.91608391608392</v>
      </c>
      <c r="E69">
        <v>87.567567567567579</v>
      </c>
      <c r="F69">
        <v>91.666666666666657</v>
      </c>
      <c r="G69">
        <v>80.405405405405403</v>
      </c>
      <c r="H69">
        <v>80.252100840336141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100</v>
      </c>
      <c r="D70">
        <v>72.41379310344827</v>
      </c>
      <c r="E70">
        <v>83.027522935779814</v>
      </c>
      <c r="F70">
        <v>75</v>
      </c>
      <c r="G70">
        <v>67.777777777777786</v>
      </c>
      <c r="H70">
        <v>89.166666666666671</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90.909090909090907</v>
      </c>
      <c r="E71">
        <v>95.774647887323937</v>
      </c>
      <c r="F71">
        <v>100</v>
      </c>
      <c r="G71">
        <v>97.297297297297305</v>
      </c>
      <c r="H71">
        <v>93.902439024390233</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60</v>
      </c>
      <c r="D72">
        <v>77.5</v>
      </c>
      <c r="E72">
        <v>96.590909090909093</v>
      </c>
      <c r="F72">
        <v>83.333333333333343</v>
      </c>
      <c r="G72">
        <v>83.333333333333343</v>
      </c>
      <c r="H72">
        <v>98.214285714285708</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77.777777777777786</v>
      </c>
      <c r="D73">
        <v>85.714285714285708</v>
      </c>
      <c r="E73">
        <v>93.296089385474858</v>
      </c>
      <c r="F73">
        <v>91.666666666666657</v>
      </c>
      <c r="G73">
        <v>90.384615384615387</v>
      </c>
      <c r="H73">
        <v>89.830508474576277</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83.333333333333343</v>
      </c>
      <c r="D74">
        <v>95.555555555555557</v>
      </c>
      <c r="E74">
        <v>91.891891891891902</v>
      </c>
      <c r="F74">
        <v>100</v>
      </c>
      <c r="G74">
        <v>73.80952380952381</v>
      </c>
      <c r="H74">
        <v>67.241379310344826</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94.117647058823522</v>
      </c>
      <c r="D75">
        <v>94.059405940594047</v>
      </c>
      <c r="E75">
        <v>93.288590604026851</v>
      </c>
      <c r="F75">
        <v>88.888888888888886</v>
      </c>
      <c r="G75">
        <v>82.222222222222214</v>
      </c>
      <c r="H75">
        <v>95.121951219512198</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81.25</v>
      </c>
      <c r="D76">
        <v>90.079365079365076</v>
      </c>
      <c r="E76">
        <v>93.211009174311926</v>
      </c>
      <c r="F76">
        <v>100</v>
      </c>
      <c r="G76">
        <v>88.646288209606979</v>
      </c>
      <c r="H76">
        <v>92.828685258964143</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71.428571428571431</v>
      </c>
      <c r="D77">
        <v>87.5</v>
      </c>
      <c r="E77">
        <v>91.489361702127653</v>
      </c>
      <c r="F77">
        <v>100</v>
      </c>
      <c r="G77">
        <v>79.66101694915254</v>
      </c>
      <c r="H77">
        <v>91.011235955056179</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80</v>
      </c>
      <c r="D78">
        <v>85.18518518518519</v>
      </c>
      <c r="E78">
        <v>90.184049079754601</v>
      </c>
      <c r="F78">
        <v>100</v>
      </c>
      <c r="G78">
        <v>87.5</v>
      </c>
      <c r="H78">
        <v>91.428571428571431</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89.473684210526315</v>
      </c>
      <c r="D79">
        <v>93.023255813953483</v>
      </c>
      <c r="E79">
        <v>90.635451505016718</v>
      </c>
      <c r="F79">
        <v>86.666666666666671</v>
      </c>
      <c r="G79">
        <v>85.714285714285708</v>
      </c>
      <c r="H79">
        <v>89.788732394366207</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97.61904761904762</v>
      </c>
      <c r="E80">
        <v>99.406528189910986</v>
      </c>
      <c r="F80">
        <v>100</v>
      </c>
      <c r="G80">
        <v>98.994974874371849</v>
      </c>
      <c r="H80">
        <v>97.784810126582272</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100</v>
      </c>
      <c r="D81">
        <v>85.9375</v>
      </c>
      <c r="E81">
        <v>97.142857142857139</v>
      </c>
      <c r="F81">
        <v>57.142857142857139</v>
      </c>
      <c r="G81">
        <v>83.606557377049185</v>
      </c>
      <c r="H81">
        <v>96.551724137931032</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83.333333333333343</v>
      </c>
      <c r="D82">
        <v>86.666666666666671</v>
      </c>
      <c r="E82">
        <v>74.210526315789465</v>
      </c>
      <c r="F82">
        <v>100</v>
      </c>
      <c r="G82">
        <v>89.473684210526315</v>
      </c>
      <c r="H82">
        <v>87.5</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61.904761904761905</v>
      </c>
      <c r="E83">
        <v>91.860465116279073</v>
      </c>
      <c r="F83">
        <v>75</v>
      </c>
      <c r="G83">
        <v>84.313725490196077</v>
      </c>
      <c r="H83">
        <v>92.708333333333343</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60</v>
      </c>
      <c r="D84">
        <v>84.042553191489361</v>
      </c>
      <c r="E84">
        <v>93.827160493827151</v>
      </c>
      <c r="F84">
        <v>80</v>
      </c>
      <c r="G84">
        <v>83.695652173913047</v>
      </c>
      <c r="H84">
        <v>92.857142857142861</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78.723404255319153</v>
      </c>
      <c r="E85">
        <v>89.928057553956833</v>
      </c>
      <c r="F85">
        <v>94.117647058823522</v>
      </c>
      <c r="G85">
        <v>82.978723404255319</v>
      </c>
      <c r="H85">
        <v>93.630573248407643</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97.142857142857139</v>
      </c>
      <c r="D86">
        <v>90.721649484536087</v>
      </c>
      <c r="E86">
        <v>96.258503401360542</v>
      </c>
      <c r="F86">
        <v>96.969696969696969</v>
      </c>
      <c r="G86">
        <v>94.347826086956516</v>
      </c>
      <c r="H86">
        <v>98.373983739837399</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89.65517241379311</v>
      </c>
      <c r="E87">
        <v>87.179487179487182</v>
      </c>
      <c r="F87">
        <v>83.333333333333343</v>
      </c>
      <c r="G87">
        <v>90</v>
      </c>
      <c r="H87">
        <v>91.509433962264154</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88.888888888888886</v>
      </c>
      <c r="D88">
        <v>61.739130434782609</v>
      </c>
      <c r="E88">
        <v>70.382165605095537</v>
      </c>
      <c r="F88">
        <v>95.238095238095227</v>
      </c>
      <c r="G88">
        <v>62.295081967213115</v>
      </c>
      <c r="H88">
        <v>75.260416666666657</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77.777777777777786</v>
      </c>
      <c r="E89">
        <v>76.31578947368422</v>
      </c>
      <c r="F89">
        <v>0</v>
      </c>
      <c r="G89">
        <v>64</v>
      </c>
      <c r="H89">
        <v>88.571428571428569</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80</v>
      </c>
      <c r="D90">
        <v>97.727272727272734</v>
      </c>
      <c r="E90">
        <v>94.594594594594597</v>
      </c>
      <c r="F90">
        <v>75</v>
      </c>
      <c r="G90">
        <v>83.333333333333343</v>
      </c>
      <c r="H90">
        <v>94.444444444444443</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93.939393939393938</v>
      </c>
      <c r="E91">
        <v>86.530612244897966</v>
      </c>
      <c r="F91">
        <v>77.777777777777786</v>
      </c>
      <c r="G91">
        <v>87.356321839080465</v>
      </c>
      <c r="H91">
        <v>87.735849056603783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80</v>
      </c>
      <c r="D92">
        <v>72.131147540983605</v>
      </c>
      <c r="E92">
        <v>89.138576779026209</v>
      </c>
      <c r="F92">
        <v>60</v>
      </c>
      <c r="G92">
        <v>75.657894736842096</v>
      </c>
      <c r="H92">
        <v>92.63565891472868</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85.714285714285708</v>
      </c>
      <c r="D93">
        <v>82.222222222222214</v>
      </c>
      <c r="E93">
        <v>87.453874538745396</v>
      </c>
      <c r="F93">
        <v>100</v>
      </c>
      <c r="G93">
        <v>90.526315789473685</v>
      </c>
      <c r="H93">
        <v>94.594594594594597</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88.571428571428569</v>
      </c>
      <c r="E94">
        <v>96.460176991150433</v>
      </c>
      <c r="F94">
        <v>100</v>
      </c>
      <c r="G94">
        <v>88.571428571428569</v>
      </c>
      <c r="H94">
        <v>96.428571428571431</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84.375</v>
      </c>
      <c r="E95">
        <v>98.550724637681171</v>
      </c>
      <c r="F95">
        <v>100</v>
      </c>
      <c r="G95">
        <v>91.428571428571431</v>
      </c>
      <c r="H95">
        <v>97.368421052631575</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100</v>
      </c>
      <c r="D96">
        <v>84.375</v>
      </c>
      <c r="E96">
        <v>89.622641509433961</v>
      </c>
      <c r="F96">
        <v>100</v>
      </c>
      <c r="G96">
        <v>87.179487179487182</v>
      </c>
      <c r="H96">
        <v>89.523809523809533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97.297297297297305</v>
      </c>
      <c r="E97">
        <v>99.159663865546221</v>
      </c>
      <c r="F97">
        <v>100</v>
      </c>
      <c r="G97">
        <v>96.969696969696969</v>
      </c>
      <c r="H97">
        <v>98.360655737704917</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100</v>
      </c>
      <c r="D98">
        <v>80</v>
      </c>
      <c r="E98">
        <v>87.692307692307693</v>
      </c>
      <c r="F98">
        <v>100</v>
      </c>
      <c r="G98">
        <v>86.764705882352942</v>
      </c>
      <c r="H98">
        <v>85.18518518518519</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83.333333333333343</v>
      </c>
      <c r="D99">
        <v>89.0625</v>
      </c>
      <c r="E99">
        <v>95.614035087719301</v>
      </c>
      <c r="F99">
        <v>80</v>
      </c>
      <c r="G99">
        <v>92.857142857142861</v>
      </c>
      <c r="H99">
        <v>99.305555555555557</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84.810126582278471</v>
      </c>
      <c r="E100">
        <v>87.878787878787875</v>
      </c>
      <c r="F100">
        <v>80</v>
      </c>
      <c r="G100">
        <v>82.716049382716051</v>
      </c>
      <c r="H100">
        <v>87</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100</v>
      </c>
      <c r="D101">
        <v>96.774193548387103</v>
      </c>
      <c r="E101">
        <v>95.522388059701484</v>
      </c>
      <c r="F101">
        <v>88.888888888888886</v>
      </c>
      <c r="G101">
        <v>96.551724137931032</v>
      </c>
      <c r="H101">
        <v>96.491228070175438</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100</v>
      </c>
      <c r="E102">
        <v>89.65517241379311</v>
      </c>
      <c r="F102">
        <v>100</v>
      </c>
      <c r="G102">
        <v>96</v>
      </c>
      <c r="H102">
        <v>85.18518518518519</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86.206896551724128</v>
      </c>
      <c r="E103">
        <v>86.956521739130437</v>
      </c>
      <c r="F103">
        <v>100</v>
      </c>
      <c r="G103">
        <v>89.285714285714292</v>
      </c>
      <c r="H103">
        <v>93.396226415094347</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50</v>
      </c>
      <c r="D104">
        <v>86.36363636363636</v>
      </c>
      <c r="E104">
        <v>90.789473684210535</v>
      </c>
      <c r="F104">
        <v>100</v>
      </c>
      <c r="G104">
        <v>86.36363636363636</v>
      </c>
      <c r="H104">
        <v>92.957746478873233</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66.666666666666657</v>
      </c>
      <c r="D105">
        <v>100</v>
      </c>
      <c r="E105">
        <v>92.592592592592595</v>
      </c>
      <c r="F105"/>
      <c r="G105">
        <v>91.666666666666657</v>
      </c>
      <c r="H105">
        <v>92.5</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100</v>
      </c>
      <c r="D106">
        <v>96.774193548387103</v>
      </c>
      <c r="E106">
        <v>97.27272727272728</v>
      </c>
      <c r="F106"/>
      <c r="G106">
        <v>80.645161290322577</v>
      </c>
      <c r="H106">
        <v>95.762711864406782</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96.428571428571431</v>
      </c>
      <c r="E107">
        <v>84.615384615384613</v>
      </c>
      <c r="F107">
        <v>100</v>
      </c>
      <c r="G107">
        <v>95.652173913043484</v>
      </c>
      <c r="H107">
        <v>93.478260869565219</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91.111111111111114</v>
      </c>
      <c r="E108">
        <v>92.592592592592595</v>
      </c>
      <c r="F108">
        <v>100</v>
      </c>
      <c r="G108">
        <v>95</v>
      </c>
      <c r="H108">
        <v>94.478527607361968</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100</v>
      </c>
      <c r="D109">
        <v>84.507042253521121</v>
      </c>
      <c r="E109">
        <v>90.588235294117652</v>
      </c>
      <c r="F109">
        <v>66.666666666666657</v>
      </c>
      <c r="G109">
        <v>84.782608695652172</v>
      </c>
      <c r="H109">
        <v>93.560606060606062</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100</v>
      </c>
      <c r="D110">
        <v>80</v>
      </c>
      <c r="E110">
        <v>82.550335570469798</v>
      </c>
      <c r="F110">
        <v>100</v>
      </c>
      <c r="G110">
        <v>78.94736842105263</v>
      </c>
      <c r="H110">
        <v>82.165605095541409</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89.473684210526315</v>
      </c>
      <c r="E111">
        <v>92.5</v>
      </c>
      <c r="F111">
        <v>80</v>
      </c>
      <c r="G111">
        <v>71.428571428571431</v>
      </c>
      <c r="H111">
        <v>93.103448275862064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91.240875912408754</v>
      </c>
      <c r="E112">
        <v>91.275167785234899</v>
      </c>
      <c r="F112">
        <v>100</v>
      </c>
      <c r="G112">
        <v>93.630573248407643</v>
      </c>
      <c r="H112">
        <v>93.984962406015043</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100</v>
      </c>
      <c r="D113">
        <v>83.018867924528308</v>
      </c>
      <c r="E113">
        <v>85.6</v>
      </c>
      <c r="F113">
        <v>90</v>
      </c>
      <c r="G113">
        <v>76.785714285714292</v>
      </c>
      <c r="H113">
        <v>82.23684210526315</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84.615384615384613</v>
      </c>
      <c r="E114">
        <v>90.495867768595033</v>
      </c>
      <c r="F114">
        <v>100</v>
      </c>
      <c r="G114">
        <v>90.07633587786259</v>
      </c>
      <c r="H114">
        <v>90.625</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60</v>
      </c>
      <c r="D115">
        <v>78.94736842105263</v>
      </c>
      <c r="E115">
        <v>86.04651162790698</v>
      </c>
      <c r="F115">
        <v>60</v>
      </c>
      <c r="G115">
        <v>73.68421052631578</v>
      </c>
      <c r="H115">
        <v>85.714285714285708</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100</v>
      </c>
      <c r="D116">
        <v>76.119402985074629</v>
      </c>
      <c r="E116">
        <v>88.84297520661157</v>
      </c>
      <c r="F116">
        <v>100</v>
      </c>
      <c r="G116">
        <v>86.31578947368422</v>
      </c>
      <c r="H116">
        <v>88.825214899713473</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75</v>
      </c>
      <c r="D117">
        <v>93.103448275862064</v>
      </c>
      <c r="E117">
        <v>86.986301369863014</v>
      </c>
      <c r="F117">
        <v>87.5</v>
      </c>
      <c r="G117">
        <v>81.818181818181827</v>
      </c>
      <c r="H117">
        <v>91.139240506329116</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85.714285714285708</v>
      </c>
      <c r="H118">
        <v>97.5</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97.872340425531917</v>
      </c>
      <c r="E119">
        <v>96.721311475409834</v>
      </c>
      <c r="F119">
        <v>100</v>
      </c>
      <c r="G119">
        <v>100</v>
      </c>
      <c r="H119">
        <v>96.825396825396822</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80</v>
      </c>
      <c r="E120">
        <v>90.196078431372555</v>
      </c>
      <c r="F120"/>
      <c r="G120">
        <v>96.15384615384616</v>
      </c>
      <c r="H120">
        <v>92.941176470588232</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100</v>
      </c>
      <c r="D121">
        <v>92.553191489361694</v>
      </c>
      <c r="E121">
        <v>95.39007092198581</v>
      </c>
      <c r="F121">
        <v>87.5</v>
      </c>
      <c r="G121">
        <v>94.047619047619051</v>
      </c>
      <c r="H121">
        <v>98.240469208211152</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88.235294117647058</v>
      </c>
      <c r="D122">
        <v>80.341880341880341</v>
      </c>
      <c r="E122">
        <v>79.166666666666657</v>
      </c>
      <c r="F122">
        <v>100</v>
      </c>
      <c r="G122">
        <v>75.247524752475243</v>
      </c>
      <c r="H122">
        <v>70.56074766355141</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100</v>
      </c>
      <c r="D123">
        <v>86.274509803921575</v>
      </c>
      <c r="E123">
        <v>96.15384615384616</v>
      </c>
      <c r="F123">
        <v>100</v>
      </c>
      <c r="G123">
        <v>97.5</v>
      </c>
      <c r="H123">
        <v>99.375</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90</v>
      </c>
      <c r="E124">
        <v>89.333333333333329</v>
      </c>
      <c r="F124">
        <v>100</v>
      </c>
      <c r="G124">
        <v>92</v>
      </c>
      <c r="H124">
        <v>98.780487804878049</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90.322580645161281</v>
      </c>
      <c r="E125">
        <v>92.550143266475644</v>
      </c>
      <c r="F125">
        <v>91.666666666666657</v>
      </c>
      <c r="G125">
        <v>79.069767441860463</v>
      </c>
      <c r="H125">
        <v>91.957104557640747</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90</v>
      </c>
      <c r="D126">
        <v>78.94736842105263</v>
      </c>
      <c r="E126">
        <v>92.708333333333343</v>
      </c>
      <c r="F126">
        <v>90</v>
      </c>
      <c r="G126">
        <v>80</v>
      </c>
      <c r="H126">
        <v>95.412844036697251</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100</v>
      </c>
      <c r="D127">
        <v>90</v>
      </c>
      <c r="E127">
        <v>96.460176991150433</v>
      </c>
      <c r="F127">
        <v>82.35294117647058</v>
      </c>
      <c r="G127">
        <v>79.43925233644859</v>
      </c>
      <c r="H127">
        <v>91.891891891891902</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87.5</v>
      </c>
      <c r="D128">
        <v>95.327102803738313</v>
      </c>
      <c r="E128">
        <v>92.233009708737868</v>
      </c>
      <c r="F128">
        <v>85.714285714285708</v>
      </c>
      <c r="G128">
        <v>86.075949367088612</v>
      </c>
      <c r="H128">
        <v>75.105485232067508</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100</v>
      </c>
      <c r="D129">
        <v>81.818181818181827</v>
      </c>
      <c r="E129">
        <v>90.540540540540533</v>
      </c>
      <c r="F129">
        <v>100</v>
      </c>
      <c r="G129">
        <v>73.333333333333329</v>
      </c>
      <c r="H129">
        <v>89.573459715639814</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75</v>
      </c>
      <c r="D130">
        <v>94.117647058823522</v>
      </c>
      <c r="E130">
        <v>97.916666666666657</v>
      </c>
      <c r="F130">
        <v>100</v>
      </c>
      <c r="G130">
        <v>100</v>
      </c>
      <c r="H130">
        <v>98</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100</v>
      </c>
      <c r="E131">
        <v>96.296296296296291</v>
      </c>
      <c r="F131">
        <v>100</v>
      </c>
      <c r="G131">
        <v>95.833333333333343</v>
      </c>
      <c r="H131">
        <v>96.629213483146074</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100</v>
      </c>
      <c r="D132">
        <v>95.833333333333343</v>
      </c>
      <c r="E132">
        <v>98.170731707317074</v>
      </c>
      <c r="F132">
        <v>87.5</v>
      </c>
      <c r="G132">
        <v>87.254901960784309</v>
      </c>
      <c r="H132">
        <v>94.366197183098592</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t="e">
        <v>#DIV/0!</v>
      </c>
      <c r="D133">
        <v>85.714285714285708</v>
      </c>
      <c r="E133">
        <v>75</v>
      </c>
      <c r="F133">
        <v>100</v>
      </c>
      <c r="G133">
        <v>80</v>
      </c>
      <c r="H133">
        <v>85.714285714285708</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v>
      </c>
      <c r="E134">
        <v>93.939393939393938</v>
      </c>
      <c r="F134">
        <v>100</v>
      </c>
      <c r="G134">
        <v>99.253731343283576</v>
      </c>
      <c r="H134">
        <v>91.111111111111114</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t="e">
        <v>#DIV/0!</v>
      </c>
      <c r="D135">
        <v>97.468354430379748</v>
      </c>
      <c r="E135">
        <v>93.654822335025372</v>
      </c>
      <c r="F135">
        <v>80</v>
      </c>
      <c r="G135">
        <v>96.610169491525426</v>
      </c>
      <c r="H135">
        <v>96.083550913838124</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92.857142857142861</v>
      </c>
      <c r="D136">
        <v>89.230769230769241</v>
      </c>
      <c r="E136">
        <v>92.391304347826093</v>
      </c>
      <c r="F136">
        <v>100</v>
      </c>
      <c r="G136">
        <v>91.034482758620697</v>
      </c>
      <c r="H136">
        <v>92.682926829268297</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88.095238095238088</v>
      </c>
      <c r="E137">
        <v>83.333333333333343</v>
      </c>
      <c r="F137">
        <v>100</v>
      </c>
      <c r="G137">
        <v>64.705882352941174</v>
      </c>
      <c r="H137">
        <v>80.303030303030297</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84.745762711864401</v>
      </c>
      <c r="E138">
        <v>89.867841409691636</v>
      </c>
      <c r="F138">
        <v>80</v>
      </c>
      <c r="G138">
        <v>68.75</v>
      </c>
      <c r="H138">
        <v>90.476190476190482</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85.714285714285708</v>
      </c>
      <c r="D139">
        <v>89.115646258503403</v>
      </c>
      <c r="E139">
        <v>92.022792022792018</v>
      </c>
      <c r="F139">
        <v>95</v>
      </c>
      <c r="G139">
        <v>88.125</v>
      </c>
      <c r="H139">
        <v>92.121212121212125</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95.454545454545453</v>
      </c>
      <c r="E140">
        <v>69.444444444444443</v>
      </c>
      <c r="F140">
        <v>100</v>
      </c>
      <c r="G140">
        <v>100</v>
      </c>
      <c r="H140">
        <v>98.181818181818187</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90</v>
      </c>
      <c r="D141">
        <v>94.652406417112303</v>
      </c>
      <c r="E141">
        <v>95.754716981132077</v>
      </c>
      <c r="F141">
        <v>100</v>
      </c>
      <c r="G141">
        <v>93.181818181818173</v>
      </c>
      <c r="H141">
        <v>94.893617021276597</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90.909090909090907</v>
      </c>
      <c r="D142">
        <v>84.883720930232556</v>
      </c>
      <c r="E142">
        <v>88.52459016393442</v>
      </c>
      <c r="F142">
        <v>91.666666666666657</v>
      </c>
      <c r="G142">
        <v>93.902439024390233</v>
      </c>
      <c r="H142">
        <v>94.890510948905103</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96.551724137931032</v>
      </c>
      <c r="D143">
        <v>84.73684210526315</v>
      </c>
      <c r="E143">
        <v>92.201834862385326</v>
      </c>
      <c r="F143">
        <v>80.769230769230774</v>
      </c>
      <c r="G143">
        <v>86.516853932584269</v>
      </c>
      <c r="H143">
        <v>94.236311239193085</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83.333333333333343</v>
      </c>
      <c r="D144">
        <v>80.26315789473685</v>
      </c>
      <c r="E144">
        <v>92.617449664429529</v>
      </c>
      <c r="F144">
        <v>100</v>
      </c>
      <c r="G144">
        <v>71.641791044776113</v>
      </c>
      <c r="H144">
        <v>77.401129943502823</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100</v>
      </c>
      <c r="D145">
        <v>70.270270270270274</v>
      </c>
      <c r="E145">
        <v>70.833333333333343</v>
      </c>
      <c r="F145">
        <v>100</v>
      </c>
      <c r="G145">
        <v>75.609756097560975</v>
      </c>
      <c r="H145">
        <v>90.666666666666657</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92.561983471074385</v>
      </c>
      <c r="E146">
        <v>90.607734806629836</v>
      </c>
      <c r="F146">
        <v>100</v>
      </c>
      <c r="G146">
        <v>91.390728476821195</v>
      </c>
      <c r="H146">
        <v>93.719806763285035</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66.666666666666657</v>
      </c>
      <c r="D147">
        <v>77.142857142857153</v>
      </c>
      <c r="E147">
        <v>92</v>
      </c>
      <c r="F147">
        <v>75</v>
      </c>
      <c r="G147">
        <v>75.555555555555557</v>
      </c>
      <c r="H147">
        <v>84.166666666666671</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100</v>
      </c>
      <c r="D148">
        <v>95.238095238095227</v>
      </c>
      <c r="E148">
        <v>83.561643835616437</v>
      </c>
      <c r="F148">
        <v>100</v>
      </c>
      <c r="G148">
        <v>77.272727272727266</v>
      </c>
      <c r="H148">
        <v>97.297297297297305</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100</v>
      </c>
      <c r="D149">
        <v>89.473684210526315</v>
      </c>
      <c r="E149">
        <v>97.719869706840385</v>
      </c>
      <c r="F149">
        <v>100</v>
      </c>
      <c r="G149">
        <v>88.461538461538453</v>
      </c>
      <c r="H149">
        <v>86.644951140065146</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100</v>
      </c>
      <c r="E150">
        <v>90.909090909090907</v>
      </c>
      <c r="F150">
        <v>20</v>
      </c>
      <c r="G150">
        <v>36.363636363636367</v>
      </c>
      <c r="H150">
        <v>35.714285714285715</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96.875</v>
      </c>
      <c r="E151">
        <v>98.473282442748086</v>
      </c>
      <c r="F151">
        <v>88.888888888888886</v>
      </c>
      <c r="G151">
        <v>100</v>
      </c>
      <c r="H151">
        <v>98.496240601503757</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84.615384615384613</v>
      </c>
      <c r="D152">
        <v>97.058823529411768</v>
      </c>
      <c r="E152">
        <v>99.514563106796118</v>
      </c>
      <c r="F152">
        <v>87.5</v>
      </c>
      <c r="G152">
        <v>97.029702970297024</v>
      </c>
      <c r="H152">
        <v>97.948717948717942</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92.857142857142861</v>
      </c>
      <c r="D153">
        <v>79.710144927536234</v>
      </c>
      <c r="E153">
        <v>96.666666666666671</v>
      </c>
      <c r="F153">
        <v>66.666666666666657</v>
      </c>
      <c r="G153">
        <v>80.303030303030297</v>
      </c>
      <c r="H153">
        <v>91.919191919191917</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88.888888888888886</v>
      </c>
      <c r="D154">
        <v>88.333333333333329</v>
      </c>
      <c r="E154">
        <v>83.035714285714292</v>
      </c>
      <c r="F154">
        <v>92.307692307692307</v>
      </c>
      <c r="G154">
        <v>75</v>
      </c>
      <c r="H154">
        <v>83.760683760683762</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87.5</v>
      </c>
      <c r="D155">
        <v>95</v>
      </c>
      <c r="E155">
        <v>94.303797468354432</v>
      </c>
      <c r="F155">
        <v>96.428571428571431</v>
      </c>
      <c r="G155">
        <v>92.982456140350877</v>
      </c>
      <c r="H155">
        <v>96.271186440677965</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94.444444444444443</v>
      </c>
      <c r="E156">
        <v>94.73684210526315</v>
      </c>
      <c r="F156">
        <v>100</v>
      </c>
      <c r="G156">
        <v>90</v>
      </c>
      <c r="H156">
        <v>96.491228070175438</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100</v>
      </c>
      <c r="D157">
        <v>91.044776119402982</v>
      </c>
      <c r="E157">
        <v>95.180722891566262</v>
      </c>
      <c r="F157">
        <v>87.5</v>
      </c>
      <c r="G157">
        <v>98.181818181818187</v>
      </c>
      <c r="H157">
        <v>96.551724137931032</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83.870967741935488</v>
      </c>
      <c r="E158">
        <v>91.304347826086953</v>
      </c>
      <c r="F158">
        <v>57.142857142857139</v>
      </c>
      <c r="G158">
        <v>90</v>
      </c>
      <c r="H158">
        <v>84.444444444444443</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100</v>
      </c>
      <c r="D159">
        <v>91.25</v>
      </c>
      <c r="E159">
        <v>94.01709401709401</v>
      </c>
      <c r="F159">
        <v>100</v>
      </c>
      <c r="G159">
        <v>92.753623188405797</v>
      </c>
      <c r="H159">
        <v>88.095238095238088</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100</v>
      </c>
      <c r="D160">
        <v>94.565217391304344</v>
      </c>
      <c r="E160">
        <v>95.294117647058812</v>
      </c>
      <c r="F160">
        <v>88.888888888888886</v>
      </c>
      <c r="G160">
        <v>96.84210526315789</v>
      </c>
      <c r="H160">
        <v>91.743119266055047</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83.333333333333343</v>
      </c>
      <c r="D161">
        <v>92.20779220779221</v>
      </c>
      <c r="E161">
        <v>96.969696969696969</v>
      </c>
      <c r="F161">
        <v>87.5</v>
      </c>
      <c r="G161">
        <v>95.238095238095227</v>
      </c>
      <c r="H161">
        <v>97.409326424870471</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98.214285714285708</v>
      </c>
      <c r="E162">
        <v>99.470899470899468</v>
      </c>
      <c r="F162">
        <v>100</v>
      </c>
      <c r="G162">
        <v>100</v>
      </c>
      <c r="H162">
        <v>99.126637554585145</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100</v>
      </c>
      <c r="D163">
        <v>94.444444444444443</v>
      </c>
      <c r="E163">
        <v>98.275862068965509</v>
      </c>
      <c r="F163">
        <v>100</v>
      </c>
      <c r="G163">
        <v>86.666666666666671</v>
      </c>
      <c r="H163">
        <v>96.551724137931032</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100</v>
      </c>
      <c r="D164">
        <v>96.226415094339629</v>
      </c>
      <c r="E164">
        <v>95.6989247311828</v>
      </c>
      <c r="F164">
        <v>100</v>
      </c>
      <c r="G164">
        <v>95.161290322580655</v>
      </c>
      <c r="H164">
        <v>97.610921501706486</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100</v>
      </c>
      <c r="D165">
        <v>85</v>
      </c>
      <c r="E165">
        <v>96.774193548387103</v>
      </c>
      <c r="F165">
        <v>71.428571428571431</v>
      </c>
      <c r="G165">
        <v>82.089552238805979</v>
      </c>
      <c r="H165">
        <v>91.709844559585491</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85.714285714285708</v>
      </c>
      <c r="D166">
        <v>93.75</v>
      </c>
      <c r="E166">
        <v>96.951219512195124</v>
      </c>
      <c r="F166">
        <v>80</v>
      </c>
      <c r="G166">
        <v>90</v>
      </c>
      <c r="H166">
        <v>95.555555555555557</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92.307692307692307</v>
      </c>
      <c r="D167">
        <v>97.014925373134332</v>
      </c>
      <c r="E167">
        <v>92.307692307692307</v>
      </c>
      <c r="F167">
        <v>100</v>
      </c>
      <c r="G167">
        <v>94.642857142857139</v>
      </c>
      <c r="H167">
        <v>90.178571428571431</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85.897435897435898</v>
      </c>
      <c r="E168">
        <v>84.180790960451972</v>
      </c>
      <c r="F168">
        <v>100</v>
      </c>
      <c r="G168">
        <v>84</v>
      </c>
      <c r="H168">
        <v>83.756345177664969</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100</v>
      </c>
      <c r="D169">
        <v>100</v>
      </c>
      <c r="E169">
        <v>93.939393939393938</v>
      </c>
      <c r="F169">
        <v>100</v>
      </c>
      <c r="G169">
        <v>92.10526315789474</v>
      </c>
      <c r="H169">
        <v>96.296296296296291</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85.087719298245617</v>
      </c>
      <c r="E170">
        <v>91.379310344827587</v>
      </c>
      <c r="F170">
        <v>100</v>
      </c>
      <c r="G170">
        <v>87.719298245614027</v>
      </c>
      <c r="H170">
        <v>90.434782608695656</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100</v>
      </c>
      <c r="D171">
        <v>100</v>
      </c>
      <c r="E171">
        <v>98.91304347826086</v>
      </c>
      <c r="F171">
        <v>100</v>
      </c>
      <c r="G171">
        <v>97.27272727272728</v>
      </c>
      <c r="H171">
        <v>100</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88.888888888888886</v>
      </c>
      <c r="D172">
        <v>97.61904761904762</v>
      </c>
      <c r="E172">
        <v>92.20779220779221</v>
      </c>
      <c r="F172">
        <v>100</v>
      </c>
      <c r="G172">
        <v>91.17647058823529</v>
      </c>
      <c r="H172">
        <v>91.34615384615384</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90.909090909090907</v>
      </c>
      <c r="D173">
        <v>100</v>
      </c>
      <c r="E173">
        <v>100</v>
      </c>
      <c r="F173">
        <v>100</v>
      </c>
      <c r="G173">
        <v>100</v>
      </c>
      <c r="H173">
        <v>100</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88.571428571428569</v>
      </c>
      <c r="E174">
        <v>93.865030674846622</v>
      </c>
      <c r="F174">
        <v>100</v>
      </c>
      <c r="G174">
        <v>94.117647058823522</v>
      </c>
      <c r="H174">
        <v>94.420600858369099</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100</v>
      </c>
      <c r="D175">
        <v>90</v>
      </c>
      <c r="E175">
        <v>97.979797979797979</v>
      </c>
      <c r="F175">
        <v>100</v>
      </c>
      <c r="G175">
        <v>94.642857142857139</v>
      </c>
      <c r="H175">
        <v>99.159663865546221</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60</v>
      </c>
      <c r="D176">
        <v>75.903614457831324</v>
      </c>
      <c r="E176">
        <v>86.597938144329902</v>
      </c>
      <c r="F176">
        <v>83.333333333333343</v>
      </c>
      <c r="G176">
        <v>79.824561403508781</v>
      </c>
      <c r="H176">
        <v>94.262295081967224</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91.25</v>
      </c>
      <c r="E177">
        <v>98.850574712643677</v>
      </c>
      <c r="F177">
        <v>100</v>
      </c>
      <c r="G177">
        <v>98.630136986301366</v>
      </c>
      <c r="H177">
        <v>98.224852071005913</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68.75</v>
      </c>
      <c r="D178">
        <v>59.090909090909093</v>
      </c>
      <c r="E178">
        <v>82.35294117647058</v>
      </c>
      <c r="F178">
        <v>76.923076923076934</v>
      </c>
      <c r="G178">
        <v>75.294117647058826</v>
      </c>
      <c r="H178">
        <v>81.609195402298852</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91.358024691358025</v>
      </c>
      <c r="E179">
        <v>90.099009900990097</v>
      </c>
      <c r="F179">
        <v>91.666666666666657</v>
      </c>
      <c r="G179">
        <v>85.416666666666657</v>
      </c>
      <c r="H179">
        <v>89.847715736040612</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99.107142857142861</v>
      </c>
      <c r="F180">
        <v>100</v>
      </c>
      <c r="G180">
        <v>100</v>
      </c>
      <c r="H180">
        <v>98.496240601503757</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t="e">
        <v>#DIV/0!</v>
      </c>
      <c r="D181">
        <v>91.666666666666657</v>
      </c>
      <c r="E181">
        <v>93.650793650793645</v>
      </c>
      <c r="F181">
        <v>100</v>
      </c>
      <c r="G181">
        <v>93.103448275862064</v>
      </c>
      <c r="H181">
        <v>100</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87.5</v>
      </c>
      <c r="D182">
        <v>76.31578947368422</v>
      </c>
      <c r="E182">
        <v>89.423076923076934</v>
      </c>
      <c r="F182">
        <v>94.117647058823522</v>
      </c>
      <c r="G182">
        <v>82.222222222222214</v>
      </c>
      <c r="H182">
        <v>92.929292929292927</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92.307692307692307</v>
      </c>
      <c r="D183">
        <v>82.339449541284409</v>
      </c>
      <c r="E183">
        <v>87.400530503978786</v>
      </c>
      <c r="F183">
        <v>84.090909090909093</v>
      </c>
      <c r="G183">
        <v>76.142131979695421</v>
      </c>
      <c r="H183">
        <v>86.50306748466258</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91.666666666666657</v>
      </c>
      <c r="D184">
        <v>83.108108108108098</v>
      </c>
      <c r="E184">
        <v>86.715867158671585</v>
      </c>
      <c r="F184">
        <v>95.454545454545453</v>
      </c>
      <c r="G184">
        <v>81.683168316831683</v>
      </c>
      <c r="H184">
        <v>77.288135593220346</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80.952380952380949</v>
      </c>
      <c r="E185">
        <v>75.510204081632651</v>
      </c>
      <c r="F185">
        <v>75</v>
      </c>
      <c r="G185">
        <v>82.692307692307693</v>
      </c>
      <c r="H185">
        <v>90.740740740740748</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87.2340425531915</v>
      </c>
      <c r="E186">
        <v>93.902439024390233</v>
      </c>
      <c r="F186">
        <v>100</v>
      </c>
      <c r="G186">
        <v>87.5</v>
      </c>
      <c r="H186">
        <v>93.193717277486911</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71.428571428571431</v>
      </c>
      <c r="D187">
        <v>100</v>
      </c>
      <c r="E187">
        <v>92.682926829268297</v>
      </c>
      <c r="F187">
        <v>70</v>
      </c>
      <c r="G187">
        <v>88.235294117647058</v>
      </c>
      <c r="H187">
        <v>93.333333333333329</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t="e">
        <v>#DIV/0!</v>
      </c>
      <c r="D188">
        <v>83.333333333333343</v>
      </c>
      <c r="E188">
        <v>93.939393939393938</v>
      </c>
      <c r="F188"/>
      <c r="G188">
        <v>100</v>
      </c>
      <c r="H188">
        <v>93.84615384615384</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94.871794871794862</v>
      </c>
      <c r="E189">
        <v>99.319727891156461</v>
      </c>
      <c r="F189">
        <v>100</v>
      </c>
      <c r="G189">
        <v>97.014925373134332</v>
      </c>
      <c r="H189">
        <v>97.282608695652172</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70.588235294117652</v>
      </c>
      <c r="E190">
        <v>85.465116279069761</v>
      </c>
      <c r="F190">
        <v>100</v>
      </c>
      <c r="G190">
        <v>92</v>
      </c>
      <c r="H190">
        <v>88.349514563106794</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95.555555555555557</v>
      </c>
      <c r="E191">
        <v>97.333333333333343</v>
      </c>
      <c r="F191">
        <v>83.333333333333343</v>
      </c>
      <c r="G191">
        <v>97.142857142857139</v>
      </c>
      <c r="H191">
        <v>100</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90</v>
      </c>
      <c r="D192">
        <v>72.549019607843135</v>
      </c>
      <c r="E192">
        <v>86.885245901639337</v>
      </c>
      <c r="F192">
        <v>81.25</v>
      </c>
      <c r="G192">
        <v>81.395348837209298</v>
      </c>
      <c r="H192">
        <v>83.333333333333343</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96.296296296296291</v>
      </c>
      <c r="E193">
        <v>90.909090909090907</v>
      </c>
      <c r="F193">
        <v>100</v>
      </c>
      <c r="G193">
        <v>92.307692307692307</v>
      </c>
      <c r="H193">
        <v>95.238095238095227</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100</v>
      </c>
      <c r="D194">
        <v>100</v>
      </c>
      <c r="E194">
        <v>99.137931034482762</v>
      </c>
      <c r="F194">
        <v>100</v>
      </c>
      <c r="G194">
        <v>95.744680851063833</v>
      </c>
      <c r="H194">
        <v>98.675496688741731</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100</v>
      </c>
      <c r="D195">
        <v>96.428571428571431</v>
      </c>
      <c r="E195">
        <v>100</v>
      </c>
      <c r="F195">
        <v>100</v>
      </c>
      <c r="G195">
        <v>95.918367346938766</v>
      </c>
      <c r="H195">
        <v>97.029702970297024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97.5</v>
      </c>
      <c r="E196">
        <v>88.461538461538453</v>
      </c>
      <c r="F196">
        <v>75</v>
      </c>
      <c r="G196">
        <v>90.322580645161281</v>
      </c>
      <c r="H196">
        <v>95.454545454545453</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83.333333333333343</v>
      </c>
      <c r="D197">
        <v>81.188118811881196</v>
      </c>
      <c r="E197">
        <v>93.023255813953483</v>
      </c>
      <c r="F197">
        <v>100</v>
      </c>
      <c r="G197">
        <v>84.269662921348313</v>
      </c>
      <c r="H197">
        <v>97.604790419161674</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92</v>
      </c>
      <c r="E198">
        <v>92.10526315789474</v>
      </c>
      <c r="F198">
        <v>100</v>
      </c>
      <c r="G198">
        <v>86.666666666666671</v>
      </c>
      <c r="H198">
        <v>87.951807228915655</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80</v>
      </c>
      <c r="E199">
        <v>87.5</v>
      </c>
      <c r="F199">
        <v>100</v>
      </c>
      <c r="G199">
        <v>100</v>
      </c>
      <c r="H199">
        <v>93.333333333333329</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100</v>
      </c>
      <c r="D200">
        <v>95.454545454545453</v>
      </c>
      <c r="E200">
        <v>96.803652968036531</v>
      </c>
      <c r="F200">
        <v>100</v>
      </c>
      <c r="G200">
        <v>89.0625</v>
      </c>
      <c r="H200">
        <v>96.491228070175438</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75</v>
      </c>
      <c r="D201">
        <v>89.830508474576277</v>
      </c>
      <c r="E201">
        <v>89.772727272727266</v>
      </c>
      <c r="F201">
        <v>100</v>
      </c>
      <c r="G201">
        <v>86.956521739130437</v>
      </c>
      <c r="H201">
        <v>90.476190476190482</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82.474226804123703</v>
      </c>
      <c r="E202">
        <v>90.931372549019613</v>
      </c>
      <c r="F202">
        <v>100</v>
      </c>
      <c r="G202">
        <v>83.673469387755105</v>
      </c>
      <c r="H202">
        <v>87.131367292225207</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75</v>
      </c>
      <c r="D203">
        <v>81.395348837209298</v>
      </c>
      <c r="E203">
        <v>92.241379310344826</v>
      </c>
      <c r="F203">
        <v>100</v>
      </c>
      <c r="G203">
        <v>86.666666666666671</v>
      </c>
      <c r="H203">
        <v>94.214876033057848</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83.333333333333343</v>
      </c>
      <c r="D204">
        <v>70.588235294117652</v>
      </c>
      <c r="E204">
        <v>77.450980392156865</v>
      </c>
      <c r="F204"/>
      <c r="G204">
        <v>65.517241379310349</v>
      </c>
      <c r="H204">
        <v>96.808510638297875</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100</v>
      </c>
      <c r="D205">
        <v>100</v>
      </c>
      <c r="E205">
        <v>94.594594594594597</v>
      </c>
      <c r="F205">
        <v>100</v>
      </c>
      <c r="G205">
        <v>94.444444444444443</v>
      </c>
      <c r="H205">
        <v>100</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92.1875</v>
      </c>
      <c r="E206">
        <v>94.011976047904184</v>
      </c>
      <c r="F206">
        <v>100</v>
      </c>
      <c r="G206">
        <v>88.60759493670885</v>
      </c>
      <c r="H206">
        <v>93.103448275862064</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78.94736842105263</v>
      </c>
      <c r="E208">
        <v>87.5</v>
      </c>
      <c r="F208">
        <v>66.666666666666657</v>
      </c>
      <c r="G208">
        <v>72.41379310344827</v>
      </c>
      <c r="H208">
        <v>82.222222222222214</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79.487179487179489</v>
      </c>
      <c r="E209">
        <v>70.796460176991147</v>
      </c>
      <c r="F209">
        <v>100</v>
      </c>
      <c r="G209">
        <v>81.081081081081081</v>
      </c>
      <c r="H209">
        <v>76.59574468085107</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100</v>
      </c>
      <c r="D210">
        <v>78.688524590163937</v>
      </c>
      <c r="E210">
        <v>89.440993788819881</v>
      </c>
      <c r="F210">
        <v>90.909090909090907</v>
      </c>
      <c r="G210">
        <v>76.19047619047619</v>
      </c>
      <c r="H210">
        <v>90.344827586206904</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75</v>
      </c>
      <c r="D211">
        <v>76.19047619047619</v>
      </c>
      <c r="E211">
        <v>91.111111111111114</v>
      </c>
      <c r="F211">
        <v>100</v>
      </c>
      <c r="G211">
        <v>77.777777777777786</v>
      </c>
      <c r="H211">
        <v>90.476190476190482</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100</v>
      </c>
      <c r="D212">
        <v>88.235294117647058</v>
      </c>
      <c r="E212">
        <v>98.113207547169807</v>
      </c>
      <c r="F212">
        <v>100</v>
      </c>
      <c r="G212">
        <v>97.222222222222214</v>
      </c>
      <c r="H212">
        <v>97.169811320754718</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87.5</v>
      </c>
      <c r="D213">
        <v>89.743589743589752</v>
      </c>
      <c r="E213">
        <v>97.41379310344827</v>
      </c>
      <c r="F213">
        <v>100</v>
      </c>
      <c r="G213">
        <v>100</v>
      </c>
      <c r="H213">
        <v>95.39473684210526</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91.666666666666657</v>
      </c>
      <c r="D214">
        <v>90</v>
      </c>
      <c r="E214">
        <v>92.72727272727272</v>
      </c>
      <c r="F214">
        <v>100</v>
      </c>
      <c r="G214">
        <v>97.727272727272734</v>
      </c>
      <c r="H214">
        <v>91.603053435114504</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100</v>
      </c>
      <c r="E215">
        <v>99.479166666666657</v>
      </c>
      <c r="F215">
        <v>100</v>
      </c>
      <c r="G215">
        <v>100</v>
      </c>
      <c r="H215">
        <v>99.033816425120762</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100</v>
      </c>
      <c r="D216">
        <v>99.038461538461547</v>
      </c>
      <c r="E216">
        <v>92.957746478873233</v>
      </c>
      <c r="F216">
        <v>80</v>
      </c>
      <c r="G216">
        <v>97.5</v>
      </c>
      <c r="H216">
        <v>97.321428571428569</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73.91304347826086</v>
      </c>
      <c r="D217">
        <v>77.142857142857153</v>
      </c>
      <c r="E217">
        <v>81.072555205047308</v>
      </c>
      <c r="F217">
        <v>77.777777777777786</v>
      </c>
      <c r="G217">
        <v>73.333333333333329</v>
      </c>
      <c r="H217">
        <v>83.726415094339629</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82.758620689655174</v>
      </c>
      <c r="D218">
        <v>92.125984251968504</v>
      </c>
      <c r="E218">
        <v>95.956873315363879</v>
      </c>
      <c r="F218">
        <v>92.10526315789474</v>
      </c>
      <c r="G218">
        <v>92.409240924092401</v>
      </c>
      <c r="H218">
        <v>97.582417582417577</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50</v>
      </c>
      <c r="D219">
        <v>80</v>
      </c>
      <c r="E219">
        <v>80.916030534351151</v>
      </c>
      <c r="F219">
        <v>100</v>
      </c>
      <c r="G219">
        <v>73.170731707317074</v>
      </c>
      <c r="H219">
        <v>71.428571428571431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90</v>
      </c>
      <c r="D220">
        <v>88.461538461538453</v>
      </c>
      <c r="E220">
        <v>87.596899224806208</v>
      </c>
      <c r="F220">
        <v>50</v>
      </c>
      <c r="G220">
        <v>97.435897435897431</v>
      </c>
      <c r="H220">
        <v>82.15767634854771</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68.571428571428569</v>
      </c>
      <c r="D221">
        <v>87.371134020618555</v>
      </c>
      <c r="E221">
        <v>93.012422360248451</v>
      </c>
      <c r="F221">
        <v>66.666666666666657</v>
      </c>
      <c r="G221">
        <v>80.050505050505052</v>
      </c>
      <c r="H221">
        <v>91.139240506329116</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92.307692307692307</v>
      </c>
      <c r="D222">
        <v>93.396226415094347</v>
      </c>
      <c r="E222">
        <v>95.703125</v>
      </c>
      <c r="F222">
        <v>100</v>
      </c>
      <c r="G222">
        <v>93.548387096774192</v>
      </c>
      <c r="H222">
        <v>94.605809128630696</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100</v>
      </c>
      <c r="D223">
        <v>80.952380952380949</v>
      </c>
      <c r="E223">
        <v>91.150442477876098</v>
      </c>
      <c r="F223">
        <v>77.777777777777786</v>
      </c>
      <c r="G223">
        <v>86.666666666666671</v>
      </c>
      <c r="H223">
        <v>88.888888888888886</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83.333333333333343</v>
      </c>
      <c r="D224">
        <v>89.230769230769241</v>
      </c>
      <c r="E224">
        <v>90.441176470588232</v>
      </c>
      <c r="F224">
        <v>80</v>
      </c>
      <c r="G224">
        <v>88.28125</v>
      </c>
      <c r="H224">
        <v>92.36363636363636</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91.666666666666657</v>
      </c>
      <c r="D225">
        <v>87.755102040816325</v>
      </c>
      <c r="E225">
        <v>93.181818181818173</v>
      </c>
      <c r="F225">
        <v>100</v>
      </c>
      <c r="G225">
        <v>90.425531914893625</v>
      </c>
      <c r="H225">
        <v>97.409326424870471</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100</v>
      </c>
      <c r="D226">
        <v>92</v>
      </c>
      <c r="E226">
        <v>89.333333333333329</v>
      </c>
      <c r="F226">
        <v>89.473684210526315</v>
      </c>
      <c r="G226">
        <v>91.935483870967744</v>
      </c>
      <c r="H226">
        <v>88.571428571428569</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85.714285714285708</v>
      </c>
      <c r="D227">
        <v>84.210526315789465</v>
      </c>
      <c r="E227">
        <v>72.5</v>
      </c>
      <c r="F227">
        <v>91.666666666666657</v>
      </c>
      <c r="G227">
        <v>74.647887323943664</v>
      </c>
      <c r="H227">
        <v>83.084577114427859</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100</v>
      </c>
      <c r="D228">
        <v>90.789473684210535</v>
      </c>
      <c r="E228">
        <v>95</v>
      </c>
      <c r="F228">
        <v>100</v>
      </c>
      <c r="G228">
        <v>85.294117647058826</v>
      </c>
      <c r="H228">
        <v>92.039800995024876</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85.714285714285708</v>
      </c>
      <c r="D229">
        <v>89.690721649484544</v>
      </c>
      <c r="E229">
        <v>94.894894894894904</v>
      </c>
      <c r="F229">
        <v>100</v>
      </c>
      <c r="G229">
        <v>91.666666666666657</v>
      </c>
      <c r="H229">
        <v>96.212121212121218</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100</v>
      </c>
      <c r="D230">
        <v>96.36363636363636</v>
      </c>
      <c r="E230">
        <v>87.5</v>
      </c>
      <c r="F230"/>
      <c r="G230">
        <v>97.5</v>
      </c>
      <c r="H230">
        <v>94.565217391304344</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97.826086956521735</v>
      </c>
      <c r="E231">
        <v>95.555555555555557</v>
      </c>
      <c r="F231">
        <v>100</v>
      </c>
      <c r="G231">
        <v>100</v>
      </c>
      <c r="H231">
        <v>99.159663865546221</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84.615384615384613</v>
      </c>
      <c r="E232">
        <v>93.61702127659575</v>
      </c>
      <c r="F232">
        <v>100</v>
      </c>
      <c r="G232">
        <v>95.833333333333343</v>
      </c>
      <c r="H232">
        <v>91.818181818181827</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80</v>
      </c>
      <c r="D233">
        <v>97.872340425531917</v>
      </c>
      <c r="E233">
        <v>95.104895104895107</v>
      </c>
      <c r="F233">
        <v>100</v>
      </c>
      <c r="G233">
        <v>91.666666666666657</v>
      </c>
      <c r="H233">
        <v>97.70992366412213</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97.5</v>
      </c>
      <c r="E234">
        <v>99.378881987577643</v>
      </c>
      <c r="F234">
        <v>100</v>
      </c>
      <c r="G234">
        <v>100</v>
      </c>
      <c r="H234">
        <v>100</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100</v>
      </c>
      <c r="D235">
        <v>90.740740740740748</v>
      </c>
      <c r="E235">
        <v>95.294117647058812</v>
      </c>
      <c r="F235">
        <v>100</v>
      </c>
      <c r="G235">
        <v>94.666666666666671</v>
      </c>
      <c r="H235">
        <v>97.716894977168948</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99.074074074074076</v>
      </c>
      <c r="F236">
        <v>100</v>
      </c>
      <c r="G236">
        <v>100</v>
      </c>
      <c r="H236">
        <v>100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90.909090909090907</v>
      </c>
      <c r="D237">
        <v>72.972972972972968</v>
      </c>
      <c r="E237">
        <v>68.16901408450704</v>
      </c>
      <c r="F237">
        <v>70</v>
      </c>
      <c r="G237">
        <v>71.111111111111114</v>
      </c>
      <c r="H237">
        <v>72.252747252747255</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87.5</v>
      </c>
      <c r="D238">
        <v>100</v>
      </c>
      <c r="E238">
        <v>98.507462686567166</v>
      </c>
      <c r="F238">
        <v>100</v>
      </c>
      <c r="G238">
        <v>100</v>
      </c>
      <c r="H238">
        <v>100</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100</v>
      </c>
      <c r="D239">
        <v>67.796610169491515</v>
      </c>
      <c r="E239">
        <v>80</v>
      </c>
      <c r="F239">
        <v>80</v>
      </c>
      <c r="G239">
        <v>87.719298245614027</v>
      </c>
      <c r="H239">
        <v>80</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85.714285714285708</v>
      </c>
      <c r="E240">
        <v>91.549295774647888</v>
      </c>
      <c r="F240">
        <v>100</v>
      </c>
      <c r="G240">
        <v>91.525423728813564</v>
      </c>
      <c r="H240">
        <v>97.183098591549296</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100</v>
      </c>
      <c r="D241">
        <v>100</v>
      </c>
      <c r="E241">
        <v>100</v>
      </c>
      <c r="F241">
        <v>100</v>
      </c>
      <c r="G241">
        <v>100</v>
      </c>
      <c r="H241">
        <v>98.245614035087712</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100</v>
      </c>
      <c r="D242">
        <v>97.959183673469383</v>
      </c>
      <c r="E242">
        <v>99.622641509433961</v>
      </c>
      <c r="F242">
        <v>100</v>
      </c>
      <c r="G242">
        <v>100</v>
      </c>
      <c r="H242">
        <v>97.993311036789294</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81.818181818181827</v>
      </c>
      <c r="D243">
        <v>72.5</v>
      </c>
      <c r="E243">
        <v>87.068965517241381</v>
      </c>
      <c r="F243">
        <v>66.666666666666657</v>
      </c>
      <c r="G243">
        <v>91.428571428571431</v>
      </c>
      <c r="H243">
        <v>96.031746031746039</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92.10526315789474</v>
      </c>
      <c r="E244">
        <v>98.701298701298697</v>
      </c>
      <c r="F244">
        <v>100</v>
      </c>
      <c r="G244">
        <v>100</v>
      </c>
      <c r="H244">
        <v>98.780487804878049</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84.615384615384613</v>
      </c>
      <c r="D245">
        <v>72.41379310344827</v>
      </c>
      <c r="E245">
        <v>89.400921658986178</v>
      </c>
      <c r="F245">
        <v>88.888888888888886</v>
      </c>
      <c r="G245">
        <v>78.125</v>
      </c>
      <c r="H245">
        <v>87.614678899082563</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100</v>
      </c>
      <c r="D246">
        <v>93.548387096774192</v>
      </c>
      <c r="E246">
        <v>90.206185567010309</v>
      </c>
      <c r="F246">
        <v>100</v>
      </c>
      <c r="G246">
        <v>86.764705882352942</v>
      </c>
      <c r="H246">
        <v>93.333333333333329</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93.478260869565219</v>
      </c>
      <c r="E247">
        <v>100</v>
      </c>
      <c r="F247">
        <v>100</v>
      </c>
      <c r="G247">
        <v>96.875</v>
      </c>
      <c r="H247">
        <v>100</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100</v>
      </c>
      <c r="D248">
        <v>91.666666666666657</v>
      </c>
      <c r="E248">
        <v>93.203883495145632</v>
      </c>
      <c r="F248">
        <v>100</v>
      </c>
      <c r="G248">
        <v>100</v>
      </c>
      <c r="H248">
        <v>90</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96.825396825396822</v>
      </c>
      <c r="E249">
        <v>98.40425531914893</v>
      </c>
      <c r="F249">
        <v>100</v>
      </c>
      <c r="G249">
        <v>96.92307692307692</v>
      </c>
      <c r="H249">
        <v>100</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85.714285714285708</v>
      </c>
      <c r="D250">
        <v>95.652173913043484</v>
      </c>
      <c r="E250">
        <v>97.087378640776706</v>
      </c>
      <c r="F250">
        <v>80</v>
      </c>
      <c r="G250">
        <v>83.018867924528308</v>
      </c>
      <c r="H250">
        <v>95.192307692307693</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87.5</v>
      </c>
      <c r="D251">
        <v>94.594594594594597</v>
      </c>
      <c r="E251">
        <v>90.209790209790214</v>
      </c>
      <c r="F251">
        <v>83.333333333333343</v>
      </c>
      <c r="G251">
        <v>85.245901639344254</v>
      </c>
      <c r="H251">
        <v>91.05263157894737</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100</v>
      </c>
      <c r="E252">
        <v>95.049504950495049</v>
      </c>
      <c r="F252">
        <v>100</v>
      </c>
      <c r="G252">
        <v>93.548387096774192</v>
      </c>
      <c r="H252">
        <v>90.769230769230774</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97.872340425531917</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75</v>
      </c>
      <c r="D254">
        <v>84</v>
      </c>
      <c r="E254">
        <v>91.139240506329116</v>
      </c>
      <c r="F254">
        <v>100</v>
      </c>
      <c r="G254">
        <v>89.230769230769241</v>
      </c>
      <c r="H254">
        <v>95.967741935483872</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95.402298850574709</v>
      </c>
      <c r="E255">
        <v>95.862068965517238</v>
      </c>
      <c r="F255">
        <v>100</v>
      </c>
      <c r="G255">
        <v>87.943262411347519</v>
      </c>
      <c r="H255">
        <v>87.20930232558139</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97.435897435897431</v>
      </c>
      <c r="E256">
        <v>94.9579831932773</v>
      </c>
      <c r="F256">
        <v>100</v>
      </c>
      <c r="G256">
        <v>100</v>
      </c>
      <c r="H256">
        <v>98.550724637681171</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78.571428571428569</v>
      </c>
      <c r="D257">
        <v>82.608695652173907</v>
      </c>
      <c r="E257">
        <v>83.333333333333343</v>
      </c>
      <c r="F257">
        <v>90.909090909090907</v>
      </c>
      <c r="G257">
        <v>88.311688311688314</v>
      </c>
      <c r="H257">
        <v>85.161290322580641</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80</v>
      </c>
      <c r="D258">
        <v>91.666666666666657</v>
      </c>
      <c r="E258">
        <v>98.203592814371248</v>
      </c>
      <c r="F258">
        <v>87.5</v>
      </c>
      <c r="G258">
        <v>95</v>
      </c>
      <c r="H258">
        <v>98.461538461538467</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100</v>
      </c>
      <c r="D259">
        <v>84.615384615384613</v>
      </c>
      <c r="E259">
        <v>93.233082706766908</v>
      </c>
      <c r="F259">
        <v>93.333333333333329</v>
      </c>
      <c r="G259">
        <v>78.048780487804876</v>
      </c>
      <c r="H259">
        <v>88.188976377952756</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83.333333333333343</v>
      </c>
      <c r="D260">
        <v>71.014492753623188</v>
      </c>
      <c r="E260">
        <v>66.917293233082702</v>
      </c>
      <c r="F260">
        <v>71.428571428571431</v>
      </c>
      <c r="G260">
        <v>76.119402985074629</v>
      </c>
      <c r="H260">
        <v>81.751824817518255</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100</v>
      </c>
      <c r="D261">
        <v>100</v>
      </c>
      <c r="E261">
        <v>100</v>
      </c>
      <c r="F261">
        <v>100</v>
      </c>
      <c r="G261">
        <v>100</v>
      </c>
      <c r="H261">
        <v>99.421965317919074</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97.058823529411768</v>
      </c>
      <c r="E262">
        <v>100</v>
      </c>
      <c r="F262">
        <v>92.857142857142861</v>
      </c>
      <c r="G262">
        <v>100</v>
      </c>
      <c r="H262">
        <v>100</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84.615384615384613</v>
      </c>
      <c r="D263">
        <v>79.411764705882348</v>
      </c>
      <c r="E263">
        <v>82.278481012658233</v>
      </c>
      <c r="F263">
        <v>88.888888888888886</v>
      </c>
      <c r="G263">
        <v>80</v>
      </c>
      <c r="H263">
        <v>82.828282828282823</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100</v>
      </c>
      <c r="D264">
        <v>84.444444444444443</v>
      </c>
      <c r="E264">
        <v>79.646017699115049</v>
      </c>
      <c r="F264">
        <v>75</v>
      </c>
      <c r="G264">
        <v>97.368421052631575</v>
      </c>
      <c r="H264">
        <v>82.692307692307693</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94.642857142857139</v>
      </c>
      <c r="E265">
        <v>93.650793650793645</v>
      </c>
      <c r="F265">
        <v>85.714285714285708</v>
      </c>
      <c r="G265">
        <v>94.318181818181827</v>
      </c>
      <c r="H265">
        <v>97.402597402597408</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80</v>
      </c>
      <c r="D266">
        <v>86.79245283018868</v>
      </c>
      <c r="E266">
        <v>86.734693877551024</v>
      </c>
      <c r="F266">
        <v>100</v>
      </c>
      <c r="G266">
        <v>86.458333333333343</v>
      </c>
      <c r="H266">
        <v>95.348837209302332</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100</v>
      </c>
      <c r="D267">
        <v>84.693877551020407</v>
      </c>
      <c r="E267">
        <v>83.445945945945937</v>
      </c>
      <c r="F267">
        <v>100</v>
      </c>
      <c r="G267">
        <v>85.714285714285708</v>
      </c>
      <c r="H267">
        <v>90.746268656716424</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90.625</v>
      </c>
      <c r="E268">
        <v>98.23788546255507</v>
      </c>
      <c r="F268">
        <v>92.307692307692307</v>
      </c>
      <c r="G268">
        <v>94.871794871794862</v>
      </c>
      <c r="H268">
        <v>96.428571428571431</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90</v>
      </c>
      <c r="D269">
        <v>80.208333333333343</v>
      </c>
      <c r="E269">
        <v>83.333333333333343</v>
      </c>
      <c r="F269">
        <v>100</v>
      </c>
      <c r="G269">
        <v>60.683760683760681</v>
      </c>
      <c r="H269">
        <v>86.580086580086572</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100</v>
      </c>
      <c r="D270">
        <v>98.275862068965509</v>
      </c>
      <c r="E270">
        <v>96.279069767441854</v>
      </c>
      <c r="F270">
        <v>100</v>
      </c>
      <c r="G270">
        <v>95.522388059701484</v>
      </c>
      <c r="H270">
        <v>98.159509202453989</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90</v>
      </c>
      <c r="E271">
        <v>91.715976331360949</v>
      </c>
      <c r="F271">
        <v>100</v>
      </c>
      <c r="G271">
        <v>94.73684210526315</v>
      </c>
      <c r="H271">
        <v>90.155440414507765</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88.235294117647058</v>
      </c>
      <c r="D272">
        <v>89.705882352941174</v>
      </c>
      <c r="E272">
        <v>78</v>
      </c>
      <c r="F272">
        <v>100</v>
      </c>
      <c r="G272">
        <v>76.119402985074629</v>
      </c>
      <c r="H272">
        <v>92.258064516129039</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86.734693877551024</v>
      </c>
      <c r="E273">
        <v>92.592592592592595</v>
      </c>
      <c r="F273">
        <v>100</v>
      </c>
      <c r="G273">
        <v>79.838709677419345</v>
      </c>
      <c r="H273">
        <v>87.264150943396217</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94.642857142857139</v>
      </c>
      <c r="E274">
        <v>94.078947368421055</v>
      </c>
      <c r="F274">
        <v>100</v>
      </c>
      <c r="G274">
        <v>87.2340425531915</v>
      </c>
      <c r="H274">
        <v>92.651757188498408</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77.631578947368425</v>
      </c>
      <c r="E275">
        <v>87.437185929648237</v>
      </c>
      <c r="F275">
        <v>100</v>
      </c>
      <c r="G275">
        <v>75.806451612903231</v>
      </c>
      <c r="H275">
        <v>96.858638743455501</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100</v>
      </c>
      <c r="D276">
        <v>85.365853658536579</v>
      </c>
      <c r="E276">
        <v>94.339622641509436</v>
      </c>
      <c r="F276">
        <v>66.666666666666657</v>
      </c>
      <c r="G276">
        <v>89.743589743589752</v>
      </c>
      <c r="H276">
        <v>91.351351351351354</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95.454545454545453</v>
      </c>
      <c r="E277">
        <v>97.9381443298969</v>
      </c>
      <c r="F277"/>
      <c r="G277">
        <v>93.939393939393938</v>
      </c>
      <c r="H277">
        <v>89.795918367346943</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68.75</v>
      </c>
      <c r="D278">
        <v>93.043478260869563</v>
      </c>
      <c r="E278">
        <v>98.062015503875969</v>
      </c>
      <c r="F278">
        <v>75</v>
      </c>
      <c r="G278">
        <v>89.130434782608688</v>
      </c>
      <c r="H278">
        <v>98.076923076923066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100</v>
      </c>
      <c r="D279">
        <v>93.478260869565219</v>
      </c>
      <c r="E279">
        <v>97.5</v>
      </c>
      <c r="F279">
        <v>93.75</v>
      </c>
      <c r="G279">
        <v>87.301587301587304</v>
      </c>
      <c r="H279">
        <v>95.138888888888886</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95.238095238095227</v>
      </c>
      <c r="E280">
        <v>93.939393939393938</v>
      </c>
      <c r="F280">
        <v>100</v>
      </c>
      <c r="G280">
        <v>100</v>
      </c>
      <c r="H280">
        <v>95.731707317073173</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94.117647058823522</v>
      </c>
      <c r="D281">
        <v>93.75</v>
      </c>
      <c r="E281">
        <v>93.043478260869563</v>
      </c>
      <c r="F281">
        <v>100</v>
      </c>
      <c r="G281">
        <v>87.837837837837839</v>
      </c>
      <c r="H281">
        <v>87.142857142857139</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84.313725490196077</v>
      </c>
      <c r="E282">
        <v>93.650793650793645</v>
      </c>
      <c r="F282">
        <v>80</v>
      </c>
      <c r="G282">
        <v>80.555555555555557</v>
      </c>
      <c r="H282">
        <v>96.226415094339629</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100</v>
      </c>
      <c r="D283">
        <v>66.17647058823529</v>
      </c>
      <c r="E283">
        <v>85.840707964601776</v>
      </c>
      <c r="F283">
        <v>100</v>
      </c>
      <c r="G283">
        <v>84.313725490196077</v>
      </c>
      <c r="H283">
        <v>90.322580645161281</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100</v>
      </c>
      <c r="D284">
        <v>98.214285714285708</v>
      </c>
      <c r="E284">
        <v>94.791666666666657</v>
      </c>
      <c r="F284">
        <v>100</v>
      </c>
      <c r="G284">
        <v>92.156862745098039</v>
      </c>
      <c r="H284">
        <v>90.243902439024396</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100</v>
      </c>
      <c r="D285">
        <v>90.983606557377044</v>
      </c>
      <c r="E285">
        <v>84.444444444444443</v>
      </c>
      <c r="F285">
        <v>83.333333333333343</v>
      </c>
      <c r="G285">
        <v>91.666666666666657</v>
      </c>
      <c r="H285">
        <v>88.439306358381501</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75</v>
      </c>
      <c r="D286">
        <v>94.047619047619051</v>
      </c>
      <c r="E286">
        <v>97.033898305084747</v>
      </c>
      <c r="F286">
        <v>100</v>
      </c>
      <c r="G286">
        <v>94.915254237288138</v>
      </c>
      <c r="H286">
        <v>96.410256410256409</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77.464788732394368</v>
      </c>
      <c r="E287">
        <v>89.444444444444443</v>
      </c>
      <c r="F287">
        <v>92.307692307692307</v>
      </c>
      <c r="G287">
        <v>88</v>
      </c>
      <c r="H287">
        <v>85.483870967741936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76.923076923076934</v>
      </c>
      <c r="D288">
        <v>82.61904761904762</v>
      </c>
      <c r="E288">
        <v>77.744807121661722</v>
      </c>
      <c r="F288">
        <v>90</v>
      </c>
      <c r="G288">
        <v>78.496868475991661</v>
      </c>
      <c r="H288">
        <v>73.422818791946312</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92.857142857142861</v>
      </c>
      <c r="D289">
        <v>79.245283018867923</v>
      </c>
      <c r="E289">
        <v>88.942307692307693</v>
      </c>
      <c r="F289">
        <v>87.5</v>
      </c>
      <c r="G289">
        <v>91.666666666666657</v>
      </c>
      <c r="H289">
        <v>87.179487179487182</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87.5</v>
      </c>
      <c r="D290">
        <v>82</v>
      </c>
      <c r="E290">
        <v>90.714285714285708</v>
      </c>
      <c r="F290">
        <v>100</v>
      </c>
      <c r="G290">
        <v>98.333333333333329</v>
      </c>
      <c r="H290">
        <v>90.780141843971634</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89.583333333333343</v>
      </c>
      <c r="D291">
        <v>89.068825910931167</v>
      </c>
      <c r="E291">
        <v>95.179063360881543</v>
      </c>
      <c r="F291">
        <v>100</v>
      </c>
      <c r="G291">
        <v>95.967741935483872</v>
      </c>
      <c r="H291">
        <v>96.661608497723833</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97.183098591549296</v>
      </c>
      <c r="E292">
        <v>96.938775510204081</v>
      </c>
      <c r="F292">
        <v>83.333333333333343</v>
      </c>
      <c r="G292">
        <v>96</v>
      </c>
      <c r="H292">
        <v>97.422680412371136</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80</v>
      </c>
      <c r="D293">
        <v>84.090909090909093</v>
      </c>
      <c r="E293">
        <v>85.714285714285708</v>
      </c>
      <c r="F293">
        <v>77.777777777777786</v>
      </c>
      <c r="G293">
        <v>69.73684210526315</v>
      </c>
      <c r="H293">
        <v>85.91549295774648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77.777777777777786</v>
      </c>
      <c r="D294">
        <v>91.304347826086953</v>
      </c>
      <c r="E294">
        <v>94.413407821229043</v>
      </c>
      <c r="F294">
        <v>85.714285714285708</v>
      </c>
      <c r="G294">
        <v>92.307692307692307</v>
      </c>
      <c r="H294">
        <v>93.478260869565219</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79.166666666666657</v>
      </c>
      <c r="E295">
        <v>76.923076923076934</v>
      </c>
      <c r="F295">
        <v>100</v>
      </c>
      <c r="G295">
        <v>70.967741935483872</v>
      </c>
      <c r="H295">
        <v>75</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99.555555555555557</v>
      </c>
      <c r="F296">
        <v>100</v>
      </c>
      <c r="G296">
        <v>100</v>
      </c>
      <c r="H296">
        <v>100</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87.179487179487182</v>
      </c>
      <c r="E297">
        <v>95.419847328244273</v>
      </c>
      <c r="F297">
        <v>100</v>
      </c>
      <c r="G297">
        <v>95</v>
      </c>
      <c r="H297">
        <v>97.093023255813947</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100</v>
      </c>
      <c r="D298">
        <v>88.461538461538453</v>
      </c>
      <c r="E298">
        <v>95.588235294117652</v>
      </c>
      <c r="F298">
        <v>100</v>
      </c>
      <c r="G298">
        <v>90.909090909090907</v>
      </c>
      <c r="H298">
        <v>95.384615384615387</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96.428571428571431</v>
      </c>
      <c r="E299">
        <v>93.258426966292134</v>
      </c>
      <c r="F299">
        <v>100</v>
      </c>
      <c r="G299">
        <v>96.610169491525426</v>
      </c>
      <c r="H299">
        <v>95.238095238095227</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88.235294117647058</v>
      </c>
      <c r="D300">
        <v>76</v>
      </c>
      <c r="E300">
        <v>86.390532544378701</v>
      </c>
      <c r="F300">
        <v>72.727272727272734</v>
      </c>
      <c r="G300">
        <v>76.923076923076934</v>
      </c>
      <c r="H300">
        <v>88.484848484848484</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80</v>
      </c>
      <c r="D301">
        <v>78.260869565217391</v>
      </c>
      <c r="E301">
        <v>94.059405940594047</v>
      </c>
      <c r="F301">
        <v>80</v>
      </c>
      <c r="G301">
        <v>89.795918367346943</v>
      </c>
      <c r="H301">
        <v>85.542168674698786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80</v>
      </c>
      <c r="E302">
        <v>86.15384615384616</v>
      </c>
      <c r="F302">
        <v>100</v>
      </c>
      <c r="G302">
        <v>89.65517241379311</v>
      </c>
      <c r="H302">
        <v>98.71794871794873</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63.768115942028977</v>
      </c>
      <c r="E303">
        <v>85</v>
      </c>
      <c r="F303">
        <v>100</v>
      </c>
      <c r="G303">
        <v>79.411764705882348</v>
      </c>
      <c r="H303">
        <v>90.697674418604649</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E51" activePane="bottomRight" state="frozen"/>
      <selection activeCell="N70" sqref="N70"/>
      <selection pane="topRight" activeCell="N70" sqref="N70"/>
      <selection pane="bottomLeft" activeCell="N70" sqref="N70"/>
      <selection pane="bottomRight" activeCell="H66" sqref="H66"/>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8"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SD19</v>
      </c>
      <c r="B172" s="22" t="str">
        <f>J172&amp;(COUNTIF(J$2:J172,J172))</f>
        <v>Hampshire9</v>
      </c>
      <c r="C172" t="s">
        <v>106</v>
      </c>
      <c r="D172" t="s">
        <v>106</v>
      </c>
      <c r="E172" s="25" t="s">
        <v>0</v>
      </c>
      <c r="F172" s="25" t="s">
        <v>379</v>
      </c>
      <c r="G172" s="25" t="s">
        <v>5</v>
      </c>
      <c r="H172" s="26" t="s">
        <v>892</v>
      </c>
      <c r="I172" s="27" t="s">
        <v>892</v>
      </c>
      <c r="J172" s="3" t="s">
        <v>313</v>
      </c>
    </row>
    <row r="173" spans="1:11" ht="14.4">
      <c r="A173" s="22" t="str">
        <f>F173&amp;(COUNTIFS(F$2:F173,F173,K$2:K173,"Sparse"))</f>
        <v>SD19</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SD19</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SD20</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SD20</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SD20</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SD21</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SD22</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SD22</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SD22</v>
      </c>
      <c r="B189" s="22" t="str">
        <f>J189&amp;(COUNTIF(J$2:J189,J189))</f>
        <v>Leicestershire7</v>
      </c>
      <c r="C189" t="s">
        <v>115</v>
      </c>
      <c r="D189" t="s">
        <v>115</v>
      </c>
      <c r="E189" s="25" t="s">
        <v>366</v>
      </c>
      <c r="F189" s="25" t="s">
        <v>379</v>
      </c>
      <c r="G189" s="25" t="s">
        <v>5</v>
      </c>
      <c r="H189" s="28"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8" t="s">
        <v>891</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SD22</v>
      </c>
      <c r="B192" s="22" t="str">
        <f>J192&amp;(COUNTIF(J$2:J192,J192))</f>
        <v>Norfolk7</v>
      </c>
      <c r="C192" s="27" t="s">
        <v>117</v>
      </c>
      <c r="D192" s="27" t="s">
        <v>117</v>
      </c>
      <c r="E192" s="25" t="s">
        <v>368</v>
      </c>
      <c r="F192" s="25" t="s">
        <v>379</v>
      </c>
      <c r="G192" s="25" t="s">
        <v>5</v>
      </c>
      <c r="H192" s="27" t="s">
        <v>382</v>
      </c>
      <c r="I192" s="27" t="s">
        <v>382</v>
      </c>
      <c r="J192" t="s">
        <v>319</v>
      </c>
    </row>
    <row r="193" spans="1:10"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0" ht="14.4">
      <c r="A194" s="22" t="str">
        <f>F194&amp;(COUNTIFS(F$2:F194,F194,K$2:K194,"Sparse"))</f>
        <v>SC5</v>
      </c>
      <c r="B194" s="22" t="str">
        <f>J194&amp;(COUNTIF(J$2:J194,J194))</f>
        <v>Nottinghamshire7</v>
      </c>
      <c r="C194" s="27" t="s">
        <v>323</v>
      </c>
      <c r="D194" s="27" t="s">
        <v>323</v>
      </c>
      <c r="E194" s="25" t="s">
        <v>366</v>
      </c>
      <c r="F194" s="25" t="s">
        <v>387</v>
      </c>
      <c r="G194" s="25" t="s">
        <v>301</v>
      </c>
      <c r="H194" s="27" t="s">
        <v>892</v>
      </c>
      <c r="I194" s="27" t="s">
        <v>892</v>
      </c>
      <c r="J194" t="s">
        <v>323</v>
      </c>
    </row>
    <row r="195" spans="1:10" ht="14.4">
      <c r="A195" s="22" t="str">
        <f>F195&amp;(COUNTIFS(F$2:F195,F195,K$2:K195,"Sparse"))</f>
        <v>SD22</v>
      </c>
      <c r="B195" s="22" t="str">
        <f>J195&amp;(COUNTIF(J$2:J195,J195))</f>
        <v>Warwickshire2</v>
      </c>
      <c r="C195" t="s">
        <v>346</v>
      </c>
      <c r="D195" t="s">
        <v>346</v>
      </c>
      <c r="E195" s="25" t="s">
        <v>367</v>
      </c>
      <c r="F195" s="25" t="s">
        <v>379</v>
      </c>
      <c r="G195" s="25" t="s">
        <v>5</v>
      </c>
      <c r="H195" s="26" t="s">
        <v>382</v>
      </c>
      <c r="I195" s="27" t="s">
        <v>382</v>
      </c>
      <c r="J195" s="3" t="s">
        <v>330</v>
      </c>
    </row>
    <row r="196" spans="1:10" ht="14.4">
      <c r="A196" s="22" t="str">
        <f>F196&amp;(COUNTIFS(F$2:F196,F196,K$2:K196,"Sparse"))</f>
        <v>SD22</v>
      </c>
      <c r="B196" s="22" t="str">
        <f>J196&amp;(COUNTIF(J$2:J196,J196))</f>
        <v>Leicestershire8</v>
      </c>
      <c r="C196" t="s">
        <v>347</v>
      </c>
      <c r="D196" t="s">
        <v>347</v>
      </c>
      <c r="E196" s="25" t="s">
        <v>366</v>
      </c>
      <c r="F196" s="25" t="s">
        <v>379</v>
      </c>
      <c r="G196" s="25" t="s">
        <v>5</v>
      </c>
      <c r="H196" s="26" t="s">
        <v>382</v>
      </c>
      <c r="I196" s="27" t="s">
        <v>382</v>
      </c>
      <c r="J196" t="s">
        <v>317</v>
      </c>
    </row>
    <row r="197" spans="1:10"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0" ht="14.4">
      <c r="A198" s="22" t="str">
        <f>F198&amp;(COUNTIFS(F$2:F198,F198,K$2:K198,"Sparse"))</f>
        <v>SD22</v>
      </c>
      <c r="B198" s="22" t="str">
        <f>J198&amp;(COUNTIF(J$2:J198,J198))</f>
        <v>Oxfordshire2</v>
      </c>
      <c r="C198" s="27" t="s">
        <v>118</v>
      </c>
      <c r="D198" s="27" t="s">
        <v>118</v>
      </c>
      <c r="E198" s="25" t="s">
        <v>0</v>
      </c>
      <c r="F198" s="25" t="s">
        <v>379</v>
      </c>
      <c r="G198" s="25" t="s">
        <v>5</v>
      </c>
      <c r="H198" s="27" t="s">
        <v>382</v>
      </c>
      <c r="I198" s="27" t="s">
        <v>382</v>
      </c>
      <c r="J198" t="s">
        <v>324</v>
      </c>
    </row>
    <row r="199" spans="1:10" ht="14.4">
      <c r="A199" s="22" t="str">
        <f>F199&amp;(COUNTIFS(F$2:F199,F199,K$2:K199,"Sparse"))</f>
        <v>SC5</v>
      </c>
      <c r="B199" s="22" t="str">
        <f>J199&amp;(COUNTIF(J$2:J199,J199))</f>
        <v>Oxfordshire3</v>
      </c>
      <c r="C199" t="s">
        <v>324</v>
      </c>
      <c r="D199" t="s">
        <v>324</v>
      </c>
      <c r="E199" s="25" t="s">
        <v>0</v>
      </c>
      <c r="F199" s="25" t="s">
        <v>387</v>
      </c>
      <c r="G199" s="25" t="s">
        <v>301</v>
      </c>
      <c r="H199" s="26" t="s">
        <v>380</v>
      </c>
      <c r="I199" s="27" t="s">
        <v>380</v>
      </c>
      <c r="J199" t="s">
        <v>324</v>
      </c>
    </row>
    <row r="200" spans="1:10" ht="14.4">
      <c r="A200" s="22" t="str">
        <f>F200&amp;(COUNTIFS(F$2:F200,F200,K$2:K200,"Sparse"))</f>
        <v>SD22</v>
      </c>
      <c r="B200" s="22" t="str">
        <f>J200&amp;(COUNTIF(J$2:J200,J200))</f>
        <v>Lancashire7</v>
      </c>
      <c r="C200" t="s">
        <v>119</v>
      </c>
      <c r="D200" t="s">
        <v>119</v>
      </c>
      <c r="E200" s="25" t="s">
        <v>374</v>
      </c>
      <c r="F200" s="25" t="s">
        <v>379</v>
      </c>
      <c r="G200" s="25" t="s">
        <v>5</v>
      </c>
      <c r="H200" s="26" t="s">
        <v>382</v>
      </c>
      <c r="I200" s="27" t="s">
        <v>382</v>
      </c>
      <c r="J200" t="s">
        <v>316</v>
      </c>
    </row>
    <row r="201" spans="1:10"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0"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0"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0" ht="14.4">
      <c r="A204" s="22" t="str">
        <f>F204&amp;(COUNTIFS(F$2:F204,F204,K$2:K204,"Sparse"))</f>
        <v>SD22</v>
      </c>
      <c r="B204" s="22" t="str">
        <f>J204&amp;(COUNTIF(J$2:J204,J204))</f>
        <v>Lancashire8</v>
      </c>
      <c r="C204" t="s">
        <v>120</v>
      </c>
      <c r="D204" t="s">
        <v>120</v>
      </c>
      <c r="E204" s="25" t="s">
        <v>374</v>
      </c>
      <c r="F204" s="25" t="s">
        <v>379</v>
      </c>
      <c r="G204" s="25" t="s">
        <v>5</v>
      </c>
      <c r="H204" s="26" t="s">
        <v>382</v>
      </c>
      <c r="I204" s="27" t="s">
        <v>382</v>
      </c>
      <c r="J204" t="s">
        <v>316</v>
      </c>
    </row>
    <row r="205" spans="1:10"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0"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0"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0" ht="14.4">
      <c r="A208" s="22" t="str">
        <f>F208&amp;(COUNTIFS(F$2:F208,F208,K$2:K208,"Sparse"))</f>
        <v>SD22</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SD22</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SD23</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SD23</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SD23</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SD24</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SD25</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SD25</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SD25</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SD25</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SD25</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8" t="s">
        <v>891</v>
      </c>
      <c r="I230" s="27" t="s">
        <v>380</v>
      </c>
      <c r="J230" t="s">
        <v>394</v>
      </c>
    </row>
    <row r="231" spans="1:11" ht="14.4">
      <c r="A231" s="22" t="str">
        <f>F231&amp;(COUNTIFS(F$2:F231,F231,K$2:K231,"Sparse"))</f>
        <v>SD26</v>
      </c>
      <c r="B231" s="22" t="str">
        <f>J231&amp;(COUNTIF(J$2:J231,J231))</f>
        <v>Cambridgeshire6</v>
      </c>
      <c r="C231" t="s">
        <v>138</v>
      </c>
      <c r="D231" t="s">
        <v>138</v>
      </c>
      <c r="E231" s="25" t="s">
        <v>368</v>
      </c>
      <c r="F231" s="25" t="s">
        <v>379</v>
      </c>
      <c r="G231" s="25" t="s">
        <v>5</v>
      </c>
      <c r="H231" s="28" t="s">
        <v>891</v>
      </c>
      <c r="I231" s="27" t="s">
        <v>380</v>
      </c>
      <c r="J231" s="3" t="s">
        <v>302</v>
      </c>
      <c r="K231" t="s">
        <v>335</v>
      </c>
    </row>
    <row r="232" spans="1:11" ht="14.4">
      <c r="A232" s="22" t="str">
        <f>F232&amp;(COUNTIFS(F$2:F232,F232,K$2:K232,"Sparse"))</f>
        <v>SD26</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SD27</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SD28</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SD29</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SD29</v>
      </c>
      <c r="B237" s="22" t="str">
        <f>J237&amp;(COUNTIF(J$2:J237,J237))</f>
        <v>Norfolk8</v>
      </c>
      <c r="C237" t="s">
        <v>144</v>
      </c>
      <c r="D237" t="s">
        <v>144</v>
      </c>
      <c r="E237" s="25" t="s">
        <v>368</v>
      </c>
      <c r="F237" s="25" t="s">
        <v>379</v>
      </c>
      <c r="G237" s="25" t="s">
        <v>5</v>
      </c>
      <c r="H237" s="26" t="s">
        <v>891</v>
      </c>
      <c r="I237" s="27" t="s">
        <v>380</v>
      </c>
      <c r="J237" s="3" t="s">
        <v>319</v>
      </c>
    </row>
    <row r="238" spans="1:11" ht="14.4">
      <c r="A238" s="22" t="str">
        <f>F238&amp;(COUNTIFS(F$2:F238,F238,K$2:K238,"Sparse"))</f>
        <v>SD30</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SD30</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SD30</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SD30</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SD30</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SD31</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SC6</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SD31</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SD31</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SD32</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SD33</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SC7</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SC7</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SD33</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SD33</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SD33</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SD33</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SD34</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SD34</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SD34</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SD35</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SD35</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SD35</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SD35</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SD36</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SD36</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SD37</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SD38</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SD38</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SC7</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SD38</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SD38</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SD39</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SD39</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SD40</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SD40</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SD41</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8" t="s">
        <v>892</v>
      </c>
      <c r="I298" s="27" t="s">
        <v>892</v>
      </c>
      <c r="J298" t="s">
        <v>394</v>
      </c>
      <c r="K298" t="s">
        <v>335</v>
      </c>
    </row>
    <row r="299" spans="1:11" ht="14.4">
      <c r="A299" s="22" t="str">
        <f>F299&amp;(COUNTIFS(F$2:F299,F299,K$2:K299,"Sparse"))</f>
        <v>SD42</v>
      </c>
      <c r="B299" s="22" t="str">
        <f>J299&amp;(COUNTIF(J$2:J299,J299))</f>
        <v>Oxfordshire6</v>
      </c>
      <c r="C299" t="s">
        <v>185</v>
      </c>
      <c r="D299" t="s">
        <v>185</v>
      </c>
      <c r="E299" s="25" t="s">
        <v>0</v>
      </c>
      <c r="F299" s="25" t="s">
        <v>379</v>
      </c>
      <c r="G299" s="25" t="s">
        <v>5</v>
      </c>
      <c r="H299" s="28" t="s">
        <v>891</v>
      </c>
      <c r="I299" s="27" t="s">
        <v>380</v>
      </c>
      <c r="J299" t="s">
        <v>324</v>
      </c>
      <c r="K299" t="s">
        <v>335</v>
      </c>
    </row>
    <row r="300" spans="1:11" ht="14.4">
      <c r="A300" s="22" t="str">
        <f>F300&amp;(COUNTIFS(F$2:F300,F300,K$2:K300,"Sparse"))</f>
        <v>SD43</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SC7</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8"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0CF878B1-FEE8-4D13-B0D0-BAC02D84C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2024-09-27T10:48:50Z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