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10324/"/>
    </mc:Choice>
  </mc:AlternateContent>
  <xr:revisionPtr revIDLastSave="38" documentId="8_{7F795D13-64F7-4C26-9832-7F99C799FA30}" xr6:coauthVersionLast="47" xr6:coauthVersionMax="47" xr10:uidLastSave="{2ABCEA19-576A-4C2D-BD95-BDF2E7C9AFFF}"/>
  <workbookProtection workbookAlgorithmName="SHA-512" workbookHashValue="O7eEXpzPM08TQ5AasI6XoTHcduvHcsBdzPsZ4xkKSAVMrI02A0B8NkmqV2zbgziBA6xb36GZjRvZojqJ3uam6g==" workbookSaltValue="NsXM9Qobp6uhoeT1N7GTI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E59" i="16"/>
  <c r="AF59" i="16"/>
  <c r="D60" i="16"/>
  <c r="E60" i="16"/>
  <c r="AF60" i="16"/>
  <c r="D61" i="16"/>
  <c r="E61" i="16"/>
  <c r="AF61" i="16"/>
  <c r="D62" i="16"/>
  <c r="E62" i="16"/>
  <c r="AF62" i="16"/>
  <c r="D63" i="16"/>
  <c r="E63" i="16"/>
  <c r="AF63" i="16"/>
  <c r="D64" i="16"/>
  <c r="E64" i="16"/>
  <c r="AF64" i="16"/>
  <c r="D65" i="16"/>
  <c r="E65" i="16"/>
  <c r="AF65" i="16"/>
  <c r="D66" i="16"/>
  <c r="E66" i="16"/>
  <c r="AF66" i="16"/>
  <c r="D67" i="16"/>
  <c r="E67" i="16"/>
  <c r="AF67" i="16"/>
  <c r="D68" i="16"/>
  <c r="E68" i="16"/>
  <c r="AF68" i="16"/>
  <c r="D69" i="16"/>
  <c r="E69" i="16"/>
  <c r="H69" i="16"/>
  <c r="I69" i="16" s="1"/>
  <c r="AF69" i="16"/>
  <c r="D70" i="16"/>
  <c r="E70" i="16"/>
  <c r="AF70" i="16"/>
  <c r="D71" i="16"/>
  <c r="E71" i="16"/>
  <c r="AF71" i="16"/>
  <c r="D72" i="16"/>
  <c r="E72" i="16"/>
  <c r="AF72" i="16"/>
  <c r="D73" i="16"/>
  <c r="H73" i="16" s="1"/>
  <c r="I73" i="16" s="1"/>
  <c r="E73" i="16"/>
  <c r="AF73" i="16"/>
  <c r="D74" i="16"/>
  <c r="E74" i="16"/>
  <c r="AF74" i="16"/>
  <c r="D75" i="16"/>
  <c r="H75" i="16" s="1"/>
  <c r="I75" i="16" s="1"/>
  <c r="E75" i="16"/>
  <c r="AF75" i="16"/>
  <c r="D76" i="16"/>
  <c r="E76" i="16"/>
  <c r="AF76" i="16"/>
  <c r="D77" i="16"/>
  <c r="E77" i="16"/>
  <c r="AF77" i="16"/>
  <c r="D78" i="16"/>
  <c r="E78" i="16"/>
  <c r="AF78" i="16"/>
  <c r="D79" i="16"/>
  <c r="E79" i="16"/>
  <c r="AF79" i="16"/>
  <c r="D80" i="16"/>
  <c r="H80" i="16" s="1"/>
  <c r="I80" i="16" s="1"/>
  <c r="E80" i="16"/>
  <c r="AF80" i="16"/>
  <c r="D81" i="16"/>
  <c r="E81" i="16"/>
  <c r="AF81" i="16"/>
  <c r="D82" i="16"/>
  <c r="H82" i="16" s="1"/>
  <c r="I82" i="16" s="1"/>
  <c r="E82" i="16"/>
  <c r="AF82" i="16"/>
  <c r="D83" i="16"/>
  <c r="H83" i="16" s="1"/>
  <c r="I83" i="16" s="1"/>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E90" i="16"/>
  <c r="AF90" i="16"/>
  <c r="D91" i="16"/>
  <c r="E91" i="16"/>
  <c r="AF91" i="16"/>
  <c r="D92" i="16"/>
  <c r="E92" i="16"/>
  <c r="AF92" i="16"/>
  <c r="D93" i="16"/>
  <c r="E93" i="16"/>
  <c r="AF93" i="16"/>
  <c r="D94" i="16"/>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E130" i="16"/>
  <c r="AF130" i="16"/>
  <c r="D131" i="16"/>
  <c r="E131" i="16"/>
  <c r="AF131" i="16"/>
  <c r="D132" i="16"/>
  <c r="E132" i="16"/>
  <c r="AF132" i="16"/>
  <c r="D133" i="16"/>
  <c r="H133" i="16" s="1"/>
  <c r="I133" i="16" s="1"/>
  <c r="E133" i="16"/>
  <c r="AF133" i="16"/>
  <c r="D134" i="16"/>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E169" i="16"/>
  <c r="AF169" i="16"/>
  <c r="D170" i="16"/>
  <c r="E170" i="16"/>
  <c r="AF170" i="16"/>
  <c r="D171" i="16"/>
  <c r="H171" i="16" s="1"/>
  <c r="I171" i="16" s="1"/>
  <c r="E171" i="16"/>
  <c r="AF171" i="16"/>
  <c r="D172" i="16"/>
  <c r="E172" i="16"/>
  <c r="AF172" i="16"/>
  <c r="D173" i="16"/>
  <c r="E173" i="16"/>
  <c r="AF173" i="16"/>
  <c r="D174" i="16"/>
  <c r="E174" i="16"/>
  <c r="AF174" i="16"/>
  <c r="D175" i="16"/>
  <c r="H175" i="16" s="1"/>
  <c r="I175" i="16" s="1"/>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E195" i="16"/>
  <c r="AF195" i="16"/>
  <c r="D196" i="16"/>
  <c r="E196" i="16"/>
  <c r="AF196" i="16"/>
  <c r="D197" i="16"/>
  <c r="H197" i="16" s="1"/>
  <c r="I197" i="16" s="1"/>
  <c r="E197" i="16"/>
  <c r="AF197" i="16"/>
  <c r="D198" i="16"/>
  <c r="E198" i="16"/>
  <c r="AF198" i="16"/>
  <c r="D199" i="16"/>
  <c r="E199" i="16"/>
  <c r="AF199" i="16"/>
  <c r="D200" i="16"/>
  <c r="E200" i="16"/>
  <c r="AF200" i="16"/>
  <c r="D201" i="16"/>
  <c r="E201" i="16"/>
  <c r="AF201" i="16"/>
  <c r="D202" i="16"/>
  <c r="E202" i="16"/>
  <c r="AF202" i="16"/>
  <c r="D203" i="16"/>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E211" i="16"/>
  <c r="AF211" i="16"/>
  <c r="D212" i="16"/>
  <c r="E212" i="16"/>
  <c r="AF212" i="16"/>
  <c r="D213" i="16"/>
  <c r="E213" i="16"/>
  <c r="AF213" i="16"/>
  <c r="D214" i="16"/>
  <c r="E214" i="16"/>
  <c r="AF214" i="16"/>
  <c r="D215" i="16"/>
  <c r="E215" i="16"/>
  <c r="AF215" i="16"/>
  <c r="D216" i="16"/>
  <c r="H216" i="16" s="1"/>
  <c r="I216" i="16" s="1"/>
  <c r="E216" i="16"/>
  <c r="AF216" i="16"/>
  <c r="D217" i="16"/>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E237" i="16"/>
  <c r="AF237" i="16"/>
  <c r="D238" i="16"/>
  <c r="E238" i="16"/>
  <c r="AF238" i="16"/>
  <c r="D239" i="16"/>
  <c r="H239" i="16" s="1"/>
  <c r="I239" i="16" s="1"/>
  <c r="E239" i="16"/>
  <c r="AF239" i="16"/>
  <c r="D240" i="16"/>
  <c r="E240" i="16"/>
  <c r="AF240" i="16"/>
  <c r="D241" i="16"/>
  <c r="E241" i="16"/>
  <c r="AF241" i="16"/>
  <c r="D242" i="16"/>
  <c r="E242" i="16"/>
  <c r="AF242" i="16"/>
  <c r="D243" i="16"/>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E252" i="16"/>
  <c r="AF252" i="16"/>
  <c r="D253" i="16"/>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E263" i="16"/>
  <c r="AF263" i="16"/>
  <c r="D264" i="16"/>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E273" i="16"/>
  <c r="AF273" i="16"/>
  <c r="D274" i="16"/>
  <c r="H274" i="16" s="1"/>
  <c r="I274" i="16" s="1"/>
  <c r="E274" i="16"/>
  <c r="AF274" i="16"/>
  <c r="D275" i="16"/>
  <c r="E275" i="16"/>
  <c r="AF275" i="16"/>
  <c r="D276" i="16"/>
  <c r="E276" i="16"/>
  <c r="AF276" i="16"/>
  <c r="D277" i="16"/>
  <c r="E277" i="16"/>
  <c r="AF277" i="16"/>
  <c r="D278" i="16"/>
  <c r="E278" i="16"/>
  <c r="AF278" i="16"/>
  <c r="D279" i="16"/>
  <c r="E279" i="16"/>
  <c r="AF279" i="16"/>
  <c r="D280" i="16"/>
  <c r="E280" i="16"/>
  <c r="AF280" i="16"/>
  <c r="D281" i="16"/>
  <c r="E281" i="16"/>
  <c r="AF281" i="16"/>
  <c r="D282" i="16"/>
  <c r="E282" i="16"/>
  <c r="AF282" i="16"/>
  <c r="D283" i="16"/>
  <c r="E283" i="16"/>
  <c r="AF283" i="16"/>
  <c r="D284" i="16"/>
  <c r="E284" i="16"/>
  <c r="AF284" i="16"/>
  <c r="D285" i="16"/>
  <c r="E285" i="16"/>
  <c r="AF285" i="16"/>
  <c r="D286" i="16"/>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E314" i="16"/>
  <c r="AF314" i="16"/>
  <c r="D315" i="16"/>
  <c r="E315" i="16"/>
  <c r="AF315" i="16"/>
  <c r="D316" i="16"/>
  <c r="E316" i="16"/>
  <c r="AF316" i="16"/>
  <c r="D317" i="16"/>
  <c r="H317" i="16" s="1"/>
  <c r="I317" i="16" s="1"/>
  <c r="E317" i="16"/>
  <c r="AF317" i="16"/>
  <c r="D318" i="16"/>
  <c r="E318" i="16"/>
  <c r="AF318" i="16"/>
  <c r="D319" i="16"/>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E327" i="16"/>
  <c r="AF327" i="16"/>
  <c r="A265" i="16" l="1"/>
  <c r="D12" i="16"/>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E25" i="16"/>
  <c r="AF25" i="16"/>
  <c r="D26" i="16"/>
  <c r="E26" i="16"/>
  <c r="AF26" i="16"/>
  <c r="D27" i="16"/>
  <c r="H27" i="16" s="1"/>
  <c r="I27" i="16" s="1"/>
  <c r="E27" i="16"/>
  <c r="AF27" i="16"/>
  <c r="D28" i="16"/>
  <c r="H28" i="16" s="1"/>
  <c r="I28" i="16" s="1"/>
  <c r="E28" i="16"/>
  <c r="AF28" i="16"/>
  <c r="D29" i="16"/>
  <c r="E29" i="16"/>
  <c r="AF29" i="16"/>
  <c r="D30" i="16"/>
  <c r="E30" i="16"/>
  <c r="AF30" i="16"/>
  <c r="D31" i="16"/>
  <c r="E31" i="16"/>
  <c r="AF31" i="16"/>
  <c r="D32" i="16"/>
  <c r="E32" i="16"/>
  <c r="AF32" i="16"/>
  <c r="D33" i="16"/>
  <c r="H33" i="16" s="1"/>
  <c r="I33" i="16" s="1"/>
  <c r="E33" i="16"/>
  <c r="AF33" i="16"/>
  <c r="D34" i="16"/>
  <c r="E34" i="16"/>
  <c r="AF34" i="16"/>
  <c r="D35" i="16"/>
  <c r="E35" i="16"/>
  <c r="AF35" i="16"/>
  <c r="D36" i="16"/>
  <c r="E36" i="16"/>
  <c r="AF36" i="16"/>
  <c r="D37" i="16"/>
  <c r="H37" i="16" s="1"/>
  <c r="I37" i="16" s="1"/>
  <c r="E37" i="16"/>
  <c r="AF37" i="16"/>
  <c r="D38" i="16"/>
  <c r="E38" i="16"/>
  <c r="AF38" i="16"/>
  <c r="D39" i="16"/>
  <c r="E39" i="16"/>
  <c r="AF39" i="16"/>
  <c r="D40" i="16"/>
  <c r="H40" i="16" s="1"/>
  <c r="I40" i="16" s="1"/>
  <c r="E40" i="16"/>
  <c r="AF40" i="16"/>
  <c r="D41" i="16"/>
  <c r="E41" i="16"/>
  <c r="AF41" i="16"/>
  <c r="D42" i="16"/>
  <c r="E42" i="16"/>
  <c r="AF42" i="16"/>
  <c r="D43" i="16"/>
  <c r="E43" i="16"/>
  <c r="AF43" i="16"/>
  <c r="D44" i="16"/>
  <c r="E44" i="16"/>
  <c r="AF44" i="16"/>
  <c r="D45" i="16"/>
  <c r="H45" i="16" s="1"/>
  <c r="I45" i="16" s="1"/>
  <c r="E45" i="16"/>
  <c r="AF45" i="16"/>
  <c r="D46" i="16"/>
  <c r="E46" i="16"/>
  <c r="AF46" i="16"/>
  <c r="D47" i="16"/>
  <c r="E47" i="16"/>
  <c r="AF47" i="16"/>
  <c r="D48" i="16"/>
  <c r="E48" i="16"/>
  <c r="AF48" i="16"/>
  <c r="D49" i="16"/>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H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AX260" i="16"/>
  <c r="H260" i="16" s="1"/>
  <c r="AX92" i="16"/>
  <c r="F92" i="16" s="1"/>
  <c r="AX278" i="16"/>
  <c r="F278" i="16" s="1"/>
  <c r="AX149" i="16"/>
  <c r="F149" i="16" s="1"/>
  <c r="AX64" i="16"/>
  <c r="AX232" i="16"/>
  <c r="F232" i="16" s="1"/>
  <c r="AX298" i="16"/>
  <c r="F298" i="16" s="1"/>
  <c r="AX237" i="16"/>
  <c r="AX118" i="16"/>
  <c r="H118" i="16" s="1"/>
  <c r="AX304" i="16"/>
  <c r="F304" i="16" s="1"/>
  <c r="AX137" i="16"/>
  <c r="H137" i="16" s="1"/>
  <c r="AX287" i="16"/>
  <c r="F287" i="16" s="1"/>
  <c r="AX151" i="16"/>
  <c r="AX264" i="16"/>
  <c r="AX148" i="16"/>
  <c r="F148" i="16" s="1"/>
  <c r="AX292" i="16"/>
  <c r="F292" i="16" s="1"/>
  <c r="AX124" i="16"/>
  <c r="F124" i="16" s="1"/>
  <c r="AX326" i="16"/>
  <c r="F326" i="16" s="1"/>
  <c r="AX160" i="16"/>
  <c r="F160" i="16" s="1"/>
  <c r="AX319" i="16"/>
  <c r="F319" i="16" s="1"/>
  <c r="AX126" i="16"/>
  <c r="F126" i="16" s="1"/>
  <c r="AX321" i="16"/>
  <c r="F321" i="16" s="1"/>
  <c r="AX235" i="16"/>
  <c r="F235" i="16" s="1"/>
  <c r="AX87" i="16"/>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43" i="16"/>
  <c r="AX243" i="16"/>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H272" i="16"/>
  <c r="H62" i="16"/>
  <c r="F129" i="16"/>
  <c r="F200" i="16"/>
  <c r="AX238" i="16"/>
  <c r="F238" i="16" s="1"/>
  <c r="AX201" i="16"/>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AX36" i="16"/>
  <c r="AX13" i="16"/>
  <c r="F13" i="16" s="1"/>
  <c r="AX42" i="16"/>
  <c r="H11" i="16"/>
  <c r="H8" i="16"/>
  <c r="D22" i="8"/>
  <c r="D21" i="8"/>
  <c r="X9" i="16"/>
  <c r="AI9" i="16"/>
  <c r="AP9" i="16"/>
  <c r="J10" i="8"/>
  <c r="H213" i="16" l="1"/>
  <c r="H134" i="16"/>
  <c r="H231" i="16"/>
  <c r="H94" i="16"/>
  <c r="H35" i="16"/>
  <c r="H12" i="16"/>
  <c r="H273" i="16"/>
  <c r="H308" i="16"/>
  <c r="H179" i="16"/>
  <c r="H316" i="16"/>
  <c r="H84" i="16"/>
  <c r="H77" i="16"/>
  <c r="H215" i="16"/>
  <c r="F59" i="16"/>
  <c r="H59" i="16"/>
  <c r="F237" i="16"/>
  <c r="H237" i="16"/>
  <c r="F240" i="16"/>
  <c r="H240" i="16"/>
  <c r="H253" i="16"/>
  <c r="H159" i="16"/>
  <c r="H327" i="16"/>
  <c r="H193" i="16"/>
  <c r="H180" i="16"/>
  <c r="H203" i="16"/>
  <c r="H212" i="16"/>
  <c r="H217" i="16"/>
  <c r="F243" i="16"/>
  <c r="H243" i="16"/>
  <c r="H122" i="16"/>
  <c r="H238" i="16"/>
  <c r="H304" i="16"/>
  <c r="H173" i="16"/>
  <c r="F201" i="16"/>
  <c r="H201" i="16"/>
  <c r="F31" i="16"/>
  <c r="H31" i="16"/>
  <c r="F64" i="16"/>
  <c r="H64" i="16"/>
  <c r="H284" i="16"/>
  <c r="H26" i="16"/>
  <c r="H43" i="16"/>
  <c r="F190" i="16"/>
  <c r="H190" i="16"/>
  <c r="F42" i="16"/>
  <c r="H42" i="16"/>
  <c r="H25" i="16"/>
  <c r="H278" i="16"/>
  <c r="H252" i="16"/>
  <c r="H319" i="16"/>
  <c r="F137" i="16"/>
  <c r="F36" i="16"/>
  <c r="H36" i="16"/>
  <c r="F297" i="16"/>
  <c r="H297" i="16"/>
  <c r="F49" i="16"/>
  <c r="H49" i="16"/>
  <c r="H30" i="16"/>
  <c r="H130" i="16"/>
  <c r="H211" i="16"/>
  <c r="H196" i="16"/>
  <c r="F132" i="16"/>
  <c r="F145" i="16"/>
  <c r="H145" i="16"/>
  <c r="F264" i="16"/>
  <c r="H264" i="16"/>
  <c r="H195" i="16"/>
  <c r="H286" i="16"/>
  <c r="H71" i="16"/>
  <c r="H314" i="16"/>
  <c r="F87" i="16"/>
  <c r="H87" i="16"/>
  <c r="F151" i="16"/>
  <c r="H151" i="16"/>
  <c r="H167" i="16"/>
  <c r="H79" i="16"/>
  <c r="H65" i="16"/>
  <c r="H263"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H44" i="16"/>
  <c r="H56" i="16"/>
  <c r="F48" i="16"/>
  <c r="F46" i="16"/>
  <c r="F14" i="16"/>
  <c r="H16" i="16"/>
  <c r="H23" i="16"/>
  <c r="H13" i="16"/>
  <c r="F34" i="16"/>
  <c r="H21" i="16"/>
  <c r="F32" i="16"/>
  <c r="H32" i="16"/>
  <c r="F41" i="16"/>
  <c r="H57" i="16"/>
  <c r="H50" i="16"/>
  <c r="H17" i="16"/>
  <c r="H38" i="16"/>
  <c r="H47" i="16"/>
  <c r="H24" i="16"/>
  <c r="H15" i="16"/>
  <c r="F53" i="16"/>
  <c r="H39" i="16"/>
  <c r="K89" i="8"/>
  <c r="B39" i="8"/>
  <c r="AG11" i="16" l="1"/>
  <c r="L35" i="8"/>
  <c r="E48" i="8" s="1"/>
  <c r="I200" i="16"/>
  <c r="I42" i="16"/>
  <c r="I316" i="16"/>
  <c r="I190" i="16"/>
  <c r="I243" i="16"/>
  <c r="I64" i="16"/>
  <c r="I31" i="16"/>
  <c r="I167" i="16"/>
  <c r="I237" i="16"/>
  <c r="I201" i="16"/>
  <c r="I77" i="16"/>
  <c r="I25" i="16"/>
  <c r="I319" i="16"/>
  <c r="I180" i="16"/>
  <c r="I212" i="16"/>
  <c r="I59" i="16"/>
  <c r="I49" i="16"/>
  <c r="I308" i="16"/>
  <c r="I122" i="16"/>
  <c r="I273" i="16"/>
  <c r="I193" i="16"/>
  <c r="I26" i="16"/>
  <c r="I215" i="16"/>
  <c r="I253" i="16"/>
  <c r="I65" i="16"/>
  <c r="I213" i="16"/>
  <c r="I30" i="16"/>
  <c r="I179" i="16"/>
  <c r="I211" i="16"/>
  <c r="I217" i="16"/>
  <c r="I71" i="16"/>
  <c r="I35" i="16"/>
  <c r="I286" i="16"/>
  <c r="I231" i="16"/>
  <c r="I297" i="16"/>
  <c r="I151" i="16"/>
  <c r="I36" i="16"/>
  <c r="I278" i="16"/>
  <c r="I87" i="16"/>
  <c r="I94" i="16"/>
  <c r="I196" i="16"/>
  <c r="I12" i="16"/>
  <c r="I145" i="16"/>
  <c r="I327" i="16"/>
  <c r="I238" i="16"/>
  <c r="I240" i="16"/>
  <c r="I264" i="16"/>
  <c r="I203" i="16"/>
  <c r="I130" i="16"/>
  <c r="I173" i="16"/>
  <c r="I79" i="16"/>
  <c r="I252" i="16"/>
  <c r="I304" i="16"/>
  <c r="I195" i="16"/>
  <c r="I134" i="16"/>
  <c r="I159" i="16"/>
  <c r="I43" i="16"/>
  <c r="I284" i="16"/>
  <c r="I84" i="16"/>
  <c r="I263" i="16"/>
  <c r="I314"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l="1"/>
  <c r="AE311" i="16"/>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U12" i="16" s="1"/>
  <c r="V12" i="16" s="1"/>
  <c r="K15" i="16"/>
  <c r="L14" i="16"/>
  <c r="S13" i="16"/>
  <c r="T13" i="16"/>
  <c r="AI13" i="16"/>
  <c r="X13" i="16"/>
  <c r="M13" i="16"/>
  <c r="N13" i="16" s="1"/>
  <c r="AA13" i="16"/>
  <c r="AP13" i="16"/>
  <c r="X11" i="16"/>
  <c r="E66" i="8"/>
  <c r="Y66" i="8" s="1"/>
  <c r="T11" i="16"/>
  <c r="AI11" i="16"/>
  <c r="S11" i="16"/>
  <c r="AP11" i="16"/>
  <c r="M11" i="16"/>
  <c r="U66" i="8" s="1"/>
  <c r="AB12" i="16" l="1"/>
  <c r="Y12" i="16"/>
  <c r="AJ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B22" i="16" l="1"/>
  <c r="Y22" i="16"/>
  <c r="AJ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Q58" i="16" l="1"/>
  <c r="AJ58" i="16"/>
  <c r="AJ57" i="16"/>
  <c r="U58" i="16"/>
  <c r="AB58" i="16"/>
  <c r="Y58" i="16"/>
  <c r="L60" i="16"/>
  <c r="K61" i="16"/>
  <c r="S59" i="16"/>
  <c r="T59" i="16"/>
  <c r="AI59" i="16"/>
  <c r="X59" i="16"/>
  <c r="M59" i="16"/>
  <c r="N59" i="16" s="1"/>
  <c r="AP59" i="16"/>
  <c r="AA59" i="16"/>
  <c r="Y57" i="16"/>
  <c r="AB57" i="16"/>
  <c r="AQ57" i="16"/>
  <c r="U57" i="16"/>
  <c r="AQ59" i="16" l="1"/>
  <c r="Y59" i="16"/>
  <c r="AJ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Q64" i="16" l="1"/>
  <c r="AJ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Q68" i="16" l="1"/>
  <c r="AJ68" i="16"/>
  <c r="Y68" i="16"/>
  <c r="U68" i="16"/>
  <c r="AB68" i="16"/>
  <c r="K71" i="16"/>
  <c r="L70" i="16"/>
  <c r="M69" i="16"/>
  <c r="N69" i="16" s="1"/>
  <c r="AP69" i="16"/>
  <c r="S69" i="16"/>
  <c r="T69" i="16"/>
  <c r="AA69" i="16"/>
  <c r="AI69" i="16"/>
  <c r="X69" i="16"/>
  <c r="AQ69" i="16" l="1"/>
  <c r="AJ69" i="16"/>
  <c r="Y69" i="16"/>
  <c r="U69" i="16"/>
  <c r="AB69" i="16"/>
  <c r="T70" i="16"/>
  <c r="AI70" i="16"/>
  <c r="X70" i="16"/>
  <c r="M70" i="16"/>
  <c r="N70" i="16" s="1"/>
  <c r="AP70" i="16"/>
  <c r="AA70" i="16"/>
  <c r="S70" i="16"/>
  <c r="L71" i="16"/>
  <c r="K72" i="16"/>
  <c r="AB70" i="16" l="1"/>
  <c r="U70" i="16"/>
  <c r="Y70" i="16"/>
  <c r="AJ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U73" i="16" s="1"/>
  <c r="V73" i="16" s="1"/>
  <c r="AI73" i="16"/>
  <c r="AJ73" i="16" s="1"/>
  <c r="AK73" i="16" s="1"/>
  <c r="M73" i="16"/>
  <c r="N73" i="16" s="1"/>
  <c r="S73" i="16"/>
  <c r="X73" i="16"/>
  <c r="AA73" i="16"/>
  <c r="AP73" i="16"/>
  <c r="AQ73" i="16" s="1"/>
  <c r="AR73" i="16" s="1"/>
  <c r="L74" i="16"/>
  <c r="K75" i="16"/>
  <c r="AB73" i="16" l="1"/>
  <c r="Y73" i="16"/>
  <c r="L75" i="16"/>
  <c r="K76" i="16"/>
  <c r="AI74" i="16"/>
  <c r="AJ74" i="16" s="1"/>
  <c r="S74" i="16"/>
  <c r="T74" i="16"/>
  <c r="X74" i="16"/>
  <c r="AP74" i="16"/>
  <c r="AQ74" i="16" s="1"/>
  <c r="AR74" i="16" s="1"/>
  <c r="M74" i="16"/>
  <c r="N74" i="16" s="1"/>
  <c r="AA74" i="16"/>
  <c r="AK74" i="16" l="1"/>
  <c r="AB74" i="16"/>
  <c r="Y74" i="16"/>
  <c r="U74" i="16"/>
  <c r="K77" i="16"/>
  <c r="L76" i="16"/>
  <c r="M75" i="16"/>
  <c r="N75" i="16" s="1"/>
  <c r="T75" i="16"/>
  <c r="AI75" i="16"/>
  <c r="AJ75" i="16" s="1"/>
  <c r="S75" i="16"/>
  <c r="X75" i="16"/>
  <c r="AA75" i="16"/>
  <c r="AP75" i="16"/>
  <c r="AQ75" i="16" s="1"/>
  <c r="AR75" i="16" s="1"/>
  <c r="AK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S77" i="16"/>
  <c r="T77" i="16"/>
  <c r="M77" i="16"/>
  <c r="N77" i="16" s="1"/>
  <c r="AP77" i="16"/>
  <c r="X77" i="16"/>
  <c r="AA77" i="16"/>
  <c r="AK77" i="16" l="1"/>
  <c r="AQ77" i="16"/>
  <c r="L79" i="16"/>
  <c r="K80" i="16"/>
  <c r="T78" i="16"/>
  <c r="AP78" i="16"/>
  <c r="AA78" i="16"/>
  <c r="M78" i="16"/>
  <c r="N78" i="16" s="1"/>
  <c r="S78" i="16"/>
  <c r="X78" i="16"/>
  <c r="AI78" i="16"/>
  <c r="AJ78" i="16" s="1"/>
  <c r="AK78" i="16" s="1"/>
  <c r="Y77" i="16"/>
  <c r="AB77" i="16"/>
  <c r="U77" i="16"/>
  <c r="AQ78" i="16" l="1"/>
  <c r="U78" i="16"/>
  <c r="Y78" i="16"/>
  <c r="AB78" i="16"/>
  <c r="L80" i="16"/>
  <c r="K81" i="16"/>
  <c r="T79" i="16"/>
  <c r="U79" i="16" s="1"/>
  <c r="V79" i="16" s="1"/>
  <c r="M79" i="16"/>
  <c r="N79" i="16" s="1"/>
  <c r="AI79" i="16"/>
  <c r="AJ79" i="16" s="1"/>
  <c r="S79" i="16"/>
  <c r="X79" i="16"/>
  <c r="Y79" i="16" s="1"/>
  <c r="Z79" i="16" s="1"/>
  <c r="AA79" i="16"/>
  <c r="AB79" i="16" s="1"/>
  <c r="AC79" i="16" s="1"/>
  <c r="AP79" i="16"/>
  <c r="AC17" i="16"/>
  <c r="Z17" i="16"/>
  <c r="Z16" i="16"/>
  <c r="Z18" i="16"/>
  <c r="AC16" i="16"/>
  <c r="AC18" i="16"/>
  <c r="V16" i="16"/>
  <c r="V18" i="16"/>
  <c r="AR23" i="16"/>
  <c r="AR47" i="16"/>
  <c r="AQ79" i="16" l="1"/>
  <c r="AK79" i="16"/>
  <c r="L81" i="16"/>
  <c r="K82" i="16"/>
  <c r="AI80" i="16"/>
  <c r="AJ80" i="16" s="1"/>
  <c r="T80" i="16"/>
  <c r="AP80" i="16"/>
  <c r="X80" i="16"/>
  <c r="AA80" i="16"/>
  <c r="M80" i="16"/>
  <c r="N80" i="16" s="1"/>
  <c r="S80" i="16"/>
  <c r="AQ80" i="16" l="1"/>
  <c r="U80" i="16"/>
  <c r="K83" i="16"/>
  <c r="L82" i="16"/>
  <c r="T81" i="16"/>
  <c r="X81" i="16"/>
  <c r="AP81" i="16"/>
  <c r="M81" i="16"/>
  <c r="N81" i="16" s="1"/>
  <c r="AI81" i="16"/>
  <c r="S81" i="16"/>
  <c r="AA81" i="16"/>
  <c r="AB80" i="16"/>
  <c r="Y80" i="16"/>
  <c r="AK80" i="16"/>
  <c r="AJ81" i="16" l="1"/>
  <c r="U81" i="16"/>
  <c r="AQ81" i="16"/>
  <c r="Y81" i="16"/>
  <c r="AB81" i="16"/>
  <c r="T82" i="16"/>
  <c r="S82" i="16"/>
  <c r="X82" i="16"/>
  <c r="AP82" i="16"/>
  <c r="AQ82" i="16" s="1"/>
  <c r="AR82" i="16" s="1"/>
  <c r="M82" i="16"/>
  <c r="N82" i="16" s="1"/>
  <c r="AA82" i="16"/>
  <c r="AI82" i="16"/>
  <c r="AJ82" i="16" s="1"/>
  <c r="L83" i="16"/>
  <c r="K84" i="16"/>
  <c r="Y82" i="16" l="1"/>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AQ84" i="16" s="1"/>
  <c r="AR84" i="16" s="1"/>
  <c r="S84" i="16"/>
  <c r="T84" i="16"/>
  <c r="AI84" i="16"/>
  <c r="AJ84" i="16" s="1"/>
  <c r="AK84" i="16" s="1"/>
  <c r="Y84" i="16" l="1"/>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AJ86" i="16" s="1"/>
  <c r="AK86" i="16" s="1"/>
  <c r="T86" i="16"/>
  <c r="L87" i="16"/>
  <c r="K88" i="16"/>
  <c r="AQ86" i="16" l="1"/>
  <c r="L88" i="16"/>
  <c r="K89" i="16"/>
  <c r="X87" i="16"/>
  <c r="M87" i="16"/>
  <c r="AA87" i="16"/>
  <c r="AP87" i="16"/>
  <c r="AQ87" i="16" s="1"/>
  <c r="AR87" i="16" s="1"/>
  <c r="AI87" i="16"/>
  <c r="AJ87" i="16" s="1"/>
  <c r="AK87" i="16" s="1"/>
  <c r="S87" i="16"/>
  <c r="T87" i="16"/>
  <c r="U86" i="16"/>
  <c r="AB86" i="16"/>
  <c r="Y86" i="16"/>
  <c r="AB87" i="16" l="1"/>
  <c r="Y87" i="16"/>
  <c r="U87" i="16"/>
  <c r="N87" i="16"/>
  <c r="K90" i="16"/>
  <c r="L89" i="16"/>
  <c r="S88" i="16"/>
  <c r="T88" i="16"/>
  <c r="AI88" i="16"/>
  <c r="AJ88" i="16" s="1"/>
  <c r="X88" i="16"/>
  <c r="AA88" i="16"/>
  <c r="AP88" i="16"/>
  <c r="M88" i="16"/>
  <c r="N88" i="16" s="1"/>
  <c r="AQ88" i="16" l="1"/>
  <c r="Y88" i="16"/>
  <c r="AK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AQ90" i="16" s="1"/>
  <c r="AR90" i="16" s="1"/>
  <c r="K92" i="16"/>
  <c r="L91" i="16"/>
  <c r="AB89" i="16"/>
  <c r="Y89" i="16"/>
  <c r="AB90" i="16" l="1"/>
  <c r="U90" i="16"/>
  <c r="Y90" i="16"/>
  <c r="K93" i="16"/>
  <c r="L92" i="16"/>
  <c r="S91" i="16"/>
  <c r="T91" i="16"/>
  <c r="AI91" i="16"/>
  <c r="AJ91" i="16" s="1"/>
  <c r="AK91" i="16" s="1"/>
  <c r="AA91" i="16"/>
  <c r="AP91" i="16"/>
  <c r="AQ91" i="16" s="1"/>
  <c r="AR91" i="16" s="1"/>
  <c r="X91" i="16"/>
  <c r="M91" i="16"/>
  <c r="N91" i="16" s="1"/>
  <c r="AB91" i="16" l="1"/>
  <c r="U91" i="16"/>
  <c r="AP92" i="16"/>
  <c r="AQ92" i="16" s="1"/>
  <c r="AR92" i="16" s="1"/>
  <c r="T92" i="16"/>
  <c r="U92" i="16" s="1"/>
  <c r="V92" i="16" s="1"/>
  <c r="AI92" i="16"/>
  <c r="AJ92" i="16" s="1"/>
  <c r="AK92" i="16" s="1"/>
  <c r="M92" i="16"/>
  <c r="N92" i="16" s="1"/>
  <c r="X92" i="16"/>
  <c r="AA92" i="16"/>
  <c r="S92" i="16"/>
  <c r="L93" i="16"/>
  <c r="K94" i="16"/>
  <c r="Y91" i="16"/>
  <c r="AB92" i="16" l="1"/>
  <c r="Y92" i="16"/>
  <c r="L94" i="16"/>
  <c r="K95" i="16"/>
  <c r="X93" i="16"/>
  <c r="S93" i="16"/>
  <c r="AP93" i="16"/>
  <c r="AA93" i="16"/>
  <c r="M93" i="16"/>
  <c r="N93" i="16" s="1"/>
  <c r="AI93" i="16"/>
  <c r="AJ93" i="16" s="1"/>
  <c r="AK93" i="16" s="1"/>
  <c r="T93" i="16"/>
  <c r="AQ93" i="16" l="1"/>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J98" i="16" s="1"/>
  <c r="AK98" i="16" s="1"/>
  <c r="AP98" i="16"/>
  <c r="S98" i="16"/>
  <c r="AQ98" i="16" l="1"/>
  <c r="Y98" i="16"/>
  <c r="AB98" i="16"/>
  <c r="U98" i="16"/>
  <c r="T99" i="16"/>
  <c r="M99" i="16"/>
  <c r="N99" i="16" s="1"/>
  <c r="X99" i="16"/>
  <c r="AA99" i="16"/>
  <c r="AI99" i="16"/>
  <c r="AJ99" i="16" s="1"/>
  <c r="AK99" i="16" s="1"/>
  <c r="AP99" i="16"/>
  <c r="S99" i="16"/>
  <c r="K101" i="16"/>
  <c r="L100" i="16"/>
  <c r="AQ99" i="16" l="1"/>
  <c r="Y99" i="16"/>
  <c r="U99" i="16"/>
  <c r="AB99" i="16"/>
  <c r="AA100" i="16"/>
  <c r="S100" i="16"/>
  <c r="AI100" i="16"/>
  <c r="AJ100" i="16" s="1"/>
  <c r="AK100" i="16" s="1"/>
  <c r="AP100" i="16"/>
  <c r="M100" i="16"/>
  <c r="N100" i="16" s="1"/>
  <c r="T100" i="16"/>
  <c r="X100" i="16"/>
  <c r="L101" i="16"/>
  <c r="K102" i="16"/>
  <c r="AB100" i="16" l="1"/>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J102" i="16" s="1"/>
  <c r="AK102" i="16" s="1"/>
  <c r="AP102" i="16"/>
  <c r="AQ102" i="16" s="1"/>
  <c r="AR102" i="16" s="1"/>
  <c r="S102" i="16"/>
  <c r="L103" i="16"/>
  <c r="K104" i="16"/>
  <c r="AB102" i="16" l="1"/>
  <c r="Y102" i="16"/>
  <c r="U102" i="16"/>
  <c r="L104" i="16"/>
  <c r="K105" i="16"/>
  <c r="T103" i="16"/>
  <c r="AI103" i="16"/>
  <c r="AJ103" i="16" s="1"/>
  <c r="AK103" i="16" s="1"/>
  <c r="X103" i="16"/>
  <c r="M103" i="16"/>
  <c r="N103" i="16" s="1"/>
  <c r="AA103" i="16"/>
  <c r="AP103" i="16"/>
  <c r="AQ103" i="16" s="1"/>
  <c r="AR103" i="16" s="1"/>
  <c r="S103" i="16"/>
  <c r="AB103" i="16" l="1"/>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J111" i="16" s="1"/>
  <c r="AK111" i="16" s="1"/>
  <c r="AA111" i="16"/>
  <c r="AP111" i="16"/>
  <c r="M111" i="16"/>
  <c r="N111" i="16" s="1"/>
  <c r="S111" i="16"/>
  <c r="X111" i="16"/>
  <c r="AQ111" i="16" l="1"/>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U115" i="16" s="1"/>
  <c r="V115" i="16" s="1"/>
  <c r="X115" i="16"/>
  <c r="S115" i="16"/>
  <c r="AA115" i="16"/>
  <c r="AI115" i="16"/>
  <c r="AJ115" i="16" s="1"/>
  <c r="AK115" i="16" s="1"/>
  <c r="M115" i="16"/>
  <c r="N115" i="16" s="1"/>
  <c r="AP115" i="16"/>
  <c r="AQ115" i="16" l="1"/>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V116"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AK121" i="16" s="1"/>
  <c r="X121" i="16"/>
  <c r="S121" i="16"/>
  <c r="AP121" i="16"/>
  <c r="AA121" i="16"/>
  <c r="M121" i="16"/>
  <c r="N121" i="16" s="1"/>
  <c r="T121" i="16"/>
  <c r="AQ121" i="16" l="1"/>
  <c r="AB121" i="16"/>
  <c r="Y121" i="16"/>
  <c r="U121" i="16"/>
  <c r="S122" i="16"/>
  <c r="M122" i="16"/>
  <c r="N122" i="16" s="1"/>
  <c r="AP122" i="16"/>
  <c r="AQ122" i="16" s="1"/>
  <c r="AR122" i="16" s="1"/>
  <c r="AI122" i="16"/>
  <c r="AJ122" i="16" s="1"/>
  <c r="AK122" i="16" s="1"/>
  <c r="T122" i="16"/>
  <c r="U122" i="16" s="1"/>
  <c r="V122" i="16" s="1"/>
  <c r="X122" i="16"/>
  <c r="Y122" i="16" s="1"/>
  <c r="Z122" i="16" s="1"/>
  <c r="AA122" i="16"/>
  <c r="AB122" i="16" s="1"/>
  <c r="AC122" i="16" s="1"/>
  <c r="K124" i="16"/>
  <c r="L123" i="16"/>
  <c r="M123" i="16" l="1"/>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AK130" i="16" s="1"/>
  <c r="T130" i="16"/>
  <c r="AA130" i="16"/>
  <c r="AB130" i="16" s="1"/>
  <c r="K132" i="16"/>
  <c r="L131" i="16"/>
  <c r="AQ130" i="16" l="1"/>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C134" i="16" s="1"/>
  <c r="AI135" i="16"/>
  <c r="AJ135" i="16" s="1"/>
  <c r="AK135" i="16" s="1"/>
  <c r="X135" i="16"/>
  <c r="AP135" i="16"/>
  <c r="S135" i="16"/>
  <c r="AA135" i="16"/>
  <c r="M135" i="16"/>
  <c r="N135" i="16" s="1"/>
  <c r="T135" i="16"/>
  <c r="K137" i="16"/>
  <c r="L136" i="16"/>
  <c r="AQ135" i="16" l="1"/>
  <c r="AB135" i="16"/>
  <c r="U135" i="16"/>
  <c r="Y135" i="16"/>
  <c r="Z134"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AQ138" i="16" s="1"/>
  <c r="AR138" i="16" s="1"/>
  <c r="S138" i="16"/>
  <c r="AA138" i="16"/>
  <c r="M138" i="16"/>
  <c r="N138" i="16" s="1"/>
  <c r="T138" i="16"/>
  <c r="U138" i="16" s="1"/>
  <c r="V138" i="16" s="1"/>
  <c r="K140" i="16"/>
  <c r="L139" i="16"/>
  <c r="Y138" i="16" l="1"/>
  <c r="AB138" i="16"/>
  <c r="S139" i="16"/>
  <c r="X139" i="16"/>
  <c r="M139" i="16"/>
  <c r="N139" i="16" s="1"/>
  <c r="AP139" i="16"/>
  <c r="AA139" i="16"/>
  <c r="AI139" i="16"/>
  <c r="AJ139" i="16" s="1"/>
  <c r="AK139" i="16" s="1"/>
  <c r="T139" i="16"/>
  <c r="K141" i="16"/>
  <c r="L140" i="16"/>
  <c r="AQ139" i="16" l="1"/>
  <c r="Y139" i="16"/>
  <c r="U139" i="16"/>
  <c r="AB139" i="16"/>
  <c r="AP140" i="16"/>
  <c r="S140" i="16"/>
  <c r="AI140" i="16"/>
  <c r="AJ140" i="16" s="1"/>
  <c r="AK140" i="16" s="1"/>
  <c r="X140" i="16"/>
  <c r="M140" i="16"/>
  <c r="N140" i="16" s="1"/>
  <c r="T140" i="16"/>
  <c r="AA140" i="16"/>
  <c r="K142" i="16"/>
  <c r="L141" i="16"/>
  <c r="AQ140" i="16" l="1"/>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U143" i="16" s="1"/>
  <c r="AA143" i="16"/>
  <c r="K145" i="16"/>
  <c r="L144" i="16"/>
  <c r="AB143" i="16" l="1"/>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AJ147" i="16" s="1"/>
  <c r="AK147" i="16" s="1"/>
  <c r="T147" i="16"/>
  <c r="AA147" i="16"/>
  <c r="K149" i="16"/>
  <c r="L148" i="16"/>
  <c r="AQ147" i="16" l="1"/>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AJ149" i="16" s="1"/>
  <c r="AK149" i="16" s="1"/>
  <c r="M149" i="16"/>
  <c r="N149" i="16" s="1"/>
  <c r="T149" i="16"/>
  <c r="AP149" i="16"/>
  <c r="AQ149" i="16" l="1"/>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AQ151" i="16" s="1"/>
  <c r="AR151" i="16" s="1"/>
  <c r="S151" i="16"/>
  <c r="T151" i="16"/>
  <c r="AI151" i="16"/>
  <c r="AJ151" i="16" s="1"/>
  <c r="AK151" i="16" s="1"/>
  <c r="L152" i="16"/>
  <c r="K153" i="16"/>
  <c r="Y151" i="16" l="1"/>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J153" i="16" s="1"/>
  <c r="AK153" i="16" s="1"/>
  <c r="AP153" i="16"/>
  <c r="M153" i="16"/>
  <c r="N153" i="16" s="1"/>
  <c r="S153" i="16"/>
  <c r="T153" i="16"/>
  <c r="U153" i="16" s="1"/>
  <c r="V153" i="16" s="1"/>
  <c r="X153" i="16"/>
  <c r="Y153" i="16" s="1"/>
  <c r="Z153" i="16" s="1"/>
  <c r="AA153" i="16"/>
  <c r="AB153" i="16" s="1"/>
  <c r="AC153" i="16" s="1"/>
  <c r="AQ153" i="16" l="1"/>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Q158" i="16" s="1"/>
  <c r="AR158" i="16" s="1"/>
  <c r="AA158" i="16"/>
  <c r="K160" i="16"/>
  <c r="L159" i="16"/>
  <c r="U158" i="16" l="1"/>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AK161" i="16" s="1"/>
  <c r="X161" i="16"/>
  <c r="AP161" i="16"/>
  <c r="AQ161" i="16" s="1"/>
  <c r="Y160" i="16"/>
  <c r="AB160" i="16"/>
  <c r="U161" i="16" l="1"/>
  <c r="Y161" i="16"/>
  <c r="AB161" i="16"/>
  <c r="AP162" i="16"/>
  <c r="AQ162" i="16" s="1"/>
  <c r="AR162" i="16" s="1"/>
  <c r="AA162" i="16"/>
  <c r="M162" i="16"/>
  <c r="N162" i="16" s="1"/>
  <c r="T162" i="16"/>
  <c r="X162" i="16"/>
  <c r="S162" i="16"/>
  <c r="AI162" i="16"/>
  <c r="AJ162" i="16" s="1"/>
  <c r="AK162" i="16" s="1"/>
  <c r="L163" i="16"/>
  <c r="K164" i="16"/>
  <c r="Y162" i="16" l="1"/>
  <c r="AB162" i="16"/>
  <c r="U162" i="16"/>
  <c r="L164" i="16"/>
  <c r="K165" i="16"/>
  <c r="X163" i="16"/>
  <c r="M163" i="16"/>
  <c r="N163" i="16" s="1"/>
  <c r="AA163" i="16"/>
  <c r="AP163" i="16"/>
  <c r="S163" i="16"/>
  <c r="T163" i="16"/>
  <c r="AI163" i="16"/>
  <c r="AJ163" i="16" s="1"/>
  <c r="AK163" i="16" s="1"/>
  <c r="AQ163" i="16" l="1"/>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Z20" i="16" s="1"/>
  <c r="N327" i="16"/>
  <c r="AP327" i="16"/>
  <c r="AQ327" i="16" s="1"/>
  <c r="AR43" i="16" s="1"/>
  <c r="AA327" i="16"/>
  <c r="AB327" i="16" s="1"/>
  <c r="AC20" i="16" s="1"/>
  <c r="V15" i="16" l="1"/>
  <c r="V20" i="16"/>
  <c r="Z15" i="16"/>
  <c r="Z21" i="16"/>
  <c r="AC15" i="16"/>
  <c r="AC21" i="16"/>
  <c r="V30" i="16"/>
  <c r="V21" i="16"/>
  <c r="AR50" i="16"/>
  <c r="AR68" i="16"/>
  <c r="AR49" i="16"/>
  <c r="AR40" i="16"/>
  <c r="AR65" i="16"/>
  <c r="AR58" i="16"/>
  <c r="AR64" i="16"/>
  <c r="AR20" i="16"/>
  <c r="AR45" i="16"/>
  <c r="AC30" i="16"/>
  <c r="AC70" i="16"/>
  <c r="Z37" i="16"/>
  <c r="Z30" i="16"/>
  <c r="V37" i="16"/>
  <c r="V19" i="16"/>
  <c r="AR69" i="16"/>
  <c r="AR59" i="16"/>
  <c r="V23" i="16"/>
  <c r="V43" i="16"/>
  <c r="V51" i="16"/>
  <c r="AC22" i="16"/>
  <c r="AC37" i="16"/>
  <c r="AC34" i="16"/>
  <c r="Z59" i="16"/>
  <c r="Z70" i="16"/>
  <c r="Z14" i="16"/>
  <c r="Z22" i="16"/>
  <c r="V70" i="16"/>
  <c r="V14" i="16"/>
  <c r="V22" i="16"/>
  <c r="AC12" i="16"/>
  <c r="AC23" i="16"/>
  <c r="AC19" i="16"/>
  <c r="AK12" i="16"/>
  <c r="AK22" i="16"/>
  <c r="AK32" i="16"/>
  <c r="AK37" i="16"/>
  <c r="AK39" i="16"/>
  <c r="AK47" i="16"/>
  <c r="AK48" i="16"/>
  <c r="AK50" i="16"/>
  <c r="AK58" i="16"/>
  <c r="AK57" i="16"/>
  <c r="AK59" i="16"/>
  <c r="AK60" i="16"/>
  <c r="AK64" i="16"/>
  <c r="AK63" i="16"/>
  <c r="AK66" i="16"/>
  <c r="AK68" i="16"/>
  <c r="AK65" i="16"/>
  <c r="AK72" i="16"/>
  <c r="AK67" i="16"/>
  <c r="AK70" i="16"/>
  <c r="AK69" i="16"/>
  <c r="AK51" i="16"/>
  <c r="AK45" i="16"/>
  <c r="AK15" i="16"/>
  <c r="AK19" i="16"/>
  <c r="AK40" i="16"/>
  <c r="AK26" i="16"/>
  <c r="AK11" i="16"/>
  <c r="AK52" i="16"/>
  <c r="AK53" i="16"/>
  <c r="AK14" i="16"/>
  <c r="AK30" i="16"/>
  <c r="AK41" i="16"/>
  <c r="AK43" i="16"/>
  <c r="AK28" i="16"/>
  <c r="AK27" i="16"/>
  <c r="AK23" i="16"/>
  <c r="AK20" i="16"/>
  <c r="AK29" i="16"/>
  <c r="AK17" i="16"/>
  <c r="AK49" i="16"/>
  <c r="AK21" i="16"/>
  <c r="AK31" i="16"/>
  <c r="AK25" i="16"/>
  <c r="AK54" i="16"/>
  <c r="AK38" i="16"/>
  <c r="AK18" i="16"/>
  <c r="Z12" i="16"/>
  <c r="Z11" i="16"/>
  <c r="Z23" i="16"/>
  <c r="Z19" i="16"/>
  <c r="AC59" i="16"/>
  <c r="AC11" i="16"/>
  <c r="AR11" i="16"/>
  <c r="AR41" i="16"/>
  <c r="V60" i="16"/>
  <c r="V44" i="16"/>
  <c r="V11" i="16"/>
  <c r="V38"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L39" i="8" l="1"/>
  <c r="U108" i="8" s="1"/>
  <c r="E49"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E50" i="8" l="1"/>
  <c r="O50" i="8"/>
  <c r="O49" i="8"/>
  <c r="O51" i="8"/>
  <c r="O48" i="8"/>
  <c r="K49" i="8"/>
  <c r="K50" i="8"/>
  <c r="K51" i="8"/>
  <c r="K48" i="8"/>
  <c r="M48" i="8"/>
  <c r="M49" i="8"/>
  <c r="M50" i="8"/>
  <c r="M51" i="8"/>
  <c r="Q8" i="16"/>
  <c r="R8" i="16" s="1"/>
  <c r="B36" i="8" s="1"/>
  <c r="G120" i="8"/>
  <c r="G121" i="8"/>
  <c r="AS12" i="16"/>
  <c r="AR76" i="16"/>
  <c r="AT11" i="16" s="1"/>
  <c r="AU11" i="16" s="1"/>
  <c r="Z63" i="16"/>
  <c r="Z65" i="16"/>
  <c r="Z64" i="16"/>
  <c r="Z67" i="16"/>
  <c r="Q38" i="8" s="1"/>
  <c r="K38" i="8" s="1"/>
  <c r="Z71" i="16"/>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<sst xmlns="http://schemas.openxmlformats.org/spreadsheetml/2006/main" count="9507" uniqueCount="909">
  <si>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</si>
  <si>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</si>
  <si>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</si>
  <si>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</si>
  <si>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</si>
  <si>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</si>
  <si>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</si>
  <si>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</si>
  <si>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</si>
  <si>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</si>
  <si>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</si>
  <si>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</si>
  <si>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</si>
  <si>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</si>
  <si>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</si>
  <si>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</si>
  <si>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</si>
  <si>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</si>
  <si>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</si>
  <si>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</si>
  <si>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</si>
  <si>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</si>
  <si>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</si>
  <si>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</si>
  <si>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</si>
  <si>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</si>
  <si>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</si>
  <si>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</si>
  <si>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</si>
  <si>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</si>
  <si>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</si>
  <si>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</si>
  <si>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</si>
  <si>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</si>
  <si>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</si>
  <si>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</si>
  <si>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</si>
  <si>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</si>
  <si>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</si>
  <si>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</si>
  <si>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</si>
  <si>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</si>
  <si>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</si>
  <si>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</si>
  <si>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</si>
  <si>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</si>
  <si>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</si>
  <si>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</si>
  <si>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</si>
  <si>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</si>
  <si>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</si>
  <si>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</si>
  <si>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</si>
  <si>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</si>
  <si>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</si>
  <si>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</si>
  <si>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</si>
  <si>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</si>
  <si>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</si>
  <si>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</si>
  <si>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</si>
  <si>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</si>
  <si>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</si>
  <si>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</si>
  <si>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</si>
  <si>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</si>
  <si>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</si>
  <si>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</si>
  <si>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</si>
  <si>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</si>
  <si>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</si>
  <si>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</si>
  <si>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</si>
  <si>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</si>
  <si>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</si>
  <si>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</si>
  <si>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</si>
  <si>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</si>
  <si>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</si>
  <si>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</si>
  <si>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</si>
  <si>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</si>
  <si>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</si>
  <si>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</si>
  <si>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</si>
  <si>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</si>
  <si>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</si>
  <si>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</si>
  <si>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</si>
  <si>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</si>
  <si>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</si>
  <si>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</si>
  <si>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</si>
  <si>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</si>
  <si>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</si>
  <si>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</si>
  <si>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</si>
  <si>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</si>
  <si>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</si>
  <si>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</si>
  <si>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</si>
  <si>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</si>
  <si>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</si>
  <si>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</si>
  <si>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</si>
  <si>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</si>
  <si>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</si>
  <si>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</si>
  <si>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</si>
  <si>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</si>
  <si>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</si>
  <si>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</si>
  <si>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</si>
  <si>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</si>
  <si>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</si>
  <si>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</si>
  <si>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</si>
  <si>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</si>
  <si>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</si>
  <si>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</si>
  <si>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</si>
  <si>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</si>
  <si>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</si>
  <si>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</si>
  <si>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</si>
  <si>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</si>
  <si>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</si>
  <si>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</si>
  <si>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</si>
  <si>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</si>
  <si>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</si>
  <si>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</si>
  <si>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</si>
  <si>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</si>
  <si>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</si>
  <si>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</si>
  <si>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</si>
  <si>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</si>
  <si>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</si>
  <si>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</si>
  <si>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</si>
  <si>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</si>
  <si>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</si>
  <si>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</si>
  <si>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</si>
  <si>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</si>
  <si>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</si>
  <si>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</si>
  <si>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</si>
  <si>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</si>
  <si>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</si>
  <si>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</si>
  <si>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</si>
  <si>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</si>
  <si>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</si>
  <si>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</si>
  <si>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</si>
  <si>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</si>
  <si>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</si>
  <si>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</si>
  <si>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</si>
  <si>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</si>
  <si>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</si>
  <si>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</si>
  <si>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</si>
  <si>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</si>
  <si>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</si>
  <si>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</si>
  <si>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</si>
  <si>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</si>
  <si>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</si>
  <si>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</si>
  <si>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</si>
  <si>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</si>
  <si>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</si>
  <si>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</si>
  <si>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</si>
  <si>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</si>
  <si>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</si>
  <si>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</si>
  <si>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</si>
  <si>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</si>
  <si>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</si>
  <si>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</si>
  <si>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</si>
  <si>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</si>
  <si>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</si>
  <si>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</si>
  <si>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</si>
  <si>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</si>
  <si>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</si>
  <si>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</si>
  <si>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</si>
  <si>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</si>
  <si>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</si>
  <si>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</si>
  <si>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</si>
  <si>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</si>
  <si>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</si>
  <si>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</si>
  <si>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</si>
  <si>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</si>
  <si>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</si>
  <si>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</si>
  <si>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</si>
  <si>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</si>
  <si>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</si>
  <si>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</si>
  <si>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</si>
  <si>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</si>
  <si>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</si>
  <si>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</si>
  <si>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</si>
  <si>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</si>
  <si>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</si>
  <si>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</si>
  <si>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</si>
  <si>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</si>
  <si>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</si>
  <si>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</si>
  <si>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</si>
  <si>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</si>
  <si>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</si>
  <si>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</si>
  <si>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</si>
  <si>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</si>
  <si>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</si>
  <si>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</si>
  <si>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</si>
  <si>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</si>
  <si>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</si>
  <si>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</si>
  <si>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</si>
  <si>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</si>
  <si>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</si>
  <si>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</si>
  <si>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</si>
  <si>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</si>
  <si>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</si>
  <si>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</si>
  <si>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</si>
  <si>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</si>
  <si>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</si>
  <si>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</si>
  <si>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</si>
  <si>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</si>
  <si>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</si>
  <si>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</si>
  <si>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</si>
  <si>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</si>
  <si>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</si>
  <si>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</si>
  <si>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</si>
  <si>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</si>
  <si>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</si>
  <si>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</si>
  <si>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</si>
  <si>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</si>
  <si>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</si>
  <si>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</si>
  <si>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</si>
  <si>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</si>
  <si>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</si>
  <si>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</si>
  <si>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</si>
  <si>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</si>
  <si>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</si>
  <si>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</si>
  <si>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</si>
  <si>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</si>
  <si>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</si>
  <si>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</si>
  <si>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</si>
  <si>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</si>
  <si>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</si>
  <si>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</si>
  <si>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</si>
  <si>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</si>
  <si>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</si>
  <si>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</si>
  <si>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</si>
  <si>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</si>
  <si>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</si>
  <si>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</si>
  <si>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</si>
  <si>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</si>
  <si>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</si>
  <si>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</si>
  <si>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</si>
  <si>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</si>
  <si>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</si>
  <si>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</si>
  <si>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</si>
  <si>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</si>
  <si>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</si>
  <si>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</si>
  <si>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</si>
  <si>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</si>
  <si>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</si>
  <si>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</si>
  <si>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</si>
  <si>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</si>
  <si>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</si>
  <si>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</si>
  <si>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</si>
  <si>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</si>
  <si>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</si>
  <si>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</si>
  <si>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</si>
  <si>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</si>
  <si>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</si>
  <si>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</si>
  <si>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</si>
  <si>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</si>
  <si>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</si>
  <si>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</si>
  <si>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</si>
  <si>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</si>
  <si>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</si>
  <si>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</si>
  <si>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</si>
  <si>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</si>
  <si>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</si>
  <si>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</si>
  <si>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</si>
  <si>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</si>
  <si>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</si>
  <si>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</si>
  <si>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</si>
  <si>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</si>
  <si>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</si>
  <si>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</si>
  <si>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</si>
  <si>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</si>
  <si>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</si>
  <si>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</si>
  <si>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</si>
  <si>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</si>
  <si>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</si>
  <si>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</si>
  <si>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</si>
  <si>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</si>
  <si>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</si>
  <si>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</si>
  <si>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</si>
  <si>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</si>
  <si>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</si>
  <si>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</si>
  <si>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</si>
  <si>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</si>
  <si>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</si>
  <si>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</si>
  <si>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</si>
  <si>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</si>
  <si>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</si>
  <si>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</si>
  <si>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</si>
  <si>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</si>
  <si>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</si>
  <si>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</si>
  <si>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</si>
  <si>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</si>
  <si>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</si>
  <si>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</si>
  <si>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</si>
  <si>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</si>
  <si>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</si>
  <si>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</si>
  <si>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</si>
  <si>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</si>
  <si>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</si>
  <si>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</si>
  <si>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</si>
  <si>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</si>
  <si>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</si>
  <si>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</si>
  <si>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</si>
  <si>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</si>
  <si>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</si>
  <si>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</si>
  <si>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</si>
  <si>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</si>
  <si>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</si>
  <si>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</si>
  <si>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</si>
  <si>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</si>
  <si>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</si>
  <si>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</si>
  <si>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</si>
  <si>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</si>
  <si>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</si>
  <si>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</si>
  <si>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</si>
  <si>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</si>
  <si>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</si>
  <si>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</si>
  <si>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</si>
  <si>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</si>
  <si>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</si>
  <si>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</si>
  <si>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</si>
  <si>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</si>
  <si>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</si>
  <si>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</si>
  <si>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</si>
  <si>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</si>
  <si>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</si>
  <si>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</si>
  <si>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</si>
  <si>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</si>
  <si>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</si>
  <si>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</si>
  <si>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</si>
  <si>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</si>
  <si>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</si>
  <si>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</si>
  <si>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</si>
  <si>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</si>
  <si>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</si>
  <si>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</si>
  <si>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</si>
  <si>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</si>
  <si>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</si>
  <si>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</si>
  <si>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</si>
  <si>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</si>
  <si>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</si>
  <si>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</si>
  <si>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</si>
  <si>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</si>
  <si>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</si>
  <si>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</si>
  <si>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</si>
  <si>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</si>
  <si>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</si>
  <si>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</si>
  <si>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</si>
  <si>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</si>
  <si>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</si>
  <si>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</si>
  <si>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</si>
  <si>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</si>
  <si>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</si>
  <si>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</si>
  <si>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</si>
  <si>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</si>
  <si>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</si>
  <si>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</si>
  <si>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</si>
  <si>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</si>
  <si>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</si>
  <si>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</si>
  <si>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</si>
  <si>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</si>
  <si>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</si>
  <si>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</si>
  <si>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</si>
  <si>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</si>
  <si>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</si>
  <si>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</si>
  <si>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</si>
  <si>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</si>
  <si>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</si>
  <si>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</si>
  <si>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</si>
  <si>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</si>
  <si>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</si>
  <si>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</si>
  <si>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</si>
  <si>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</si>
  <si>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</si>
  <si>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</si>
  <si>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</si>
  <si>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</si>
  <si>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</si>
  <si>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</si>
  <si>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</si>
  <si>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</si>
  <si>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</si>
  <si>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</si>
  <si>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</si>
  <si>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</si>
  <si>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</si>
  <si>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</si>
  <si>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</si>
  <si>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</si>
  <si>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</si>
  <si>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</si>
  <si>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</si>
  <si>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</si>
  <si>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</si>
  <si>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</si>
  <si>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</si>
  <si>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</si>
  <si>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</si>
  <si>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</si>
  <si>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</si>
  <si>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</si>
  <si>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</si>
  <si>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</si>
  <si>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</si>
  <si>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</si>
  <si>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</si>
  <si>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</si>
  <si>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</si>
  <si>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</si>
  <si>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</si>
  <si>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</si>
  <si>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</si>
  <si>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</si>
  <si>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</si>
  <si>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</si>
  <si>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</si>
  <si>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</si>
  <si>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</si>
  <si>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</si>
  <si>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</si>
  <si>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</si>
  <si>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</si>
  <si>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</si>
  <si>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</si>
  <si>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</si>
  <si>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</si>
  <si>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</si>
  <si>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</si>
  <si>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</si>
  <si>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</si>
  <si>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</si>
  <si>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</si>
  <si>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</si>
  <si>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</si>
  <si>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</si>
  <si>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</si>
  <si>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</si>
  <si>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</si>
  <si>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</si>
  <si>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</si>
  <si>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</si>
  <si>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</si>
  <si>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</si>
  <si>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</si>
  <si>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</si>
  <si>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</si>
  <si>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</si>
  <si>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</si>
  <si>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</si>
  <si>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</si>
  <si>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</si>
  <si>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</si>
  <si>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</si>
  <si>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</si>
  <si>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</si>
  <si>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</si>
  <si>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</si>
  <si>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</si>
  <si>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</si>
  <si>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</si>
  <si>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</si>
  <si>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</si>
  <si>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</si>
  <si>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</si>
  <si>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</si>
  <si>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</si>
  <si>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</si>
  <si>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</si>
  <si>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</si>
  <si>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</si>
  <si>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</si>
  <si>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</si>
  <si>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</si>
  <si>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</si>
  <si>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</si>
  <si>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</si>
  <si>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</si>
  <si>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</si>
  <si>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</si>
  <si>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</si>
  <si>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</si>
  <si>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</si>
  <si>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</si>
  <si>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</si>
  <si>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</si>
  <si>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</si>
  <si>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</si>
  <si>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</si>
  <si>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</si>
  <si>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</si>
  <si>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</si>
  <si>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</si>
  <si>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</si>
  <si>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</si>
  <si>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</si>
  <si>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</si>
  <si>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</si>
  <si>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</si>
  <si>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</si>
  <si>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</si>
  <si>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</si>
  <si>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</si>
  <si>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</si>
  <si>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</si>
  <si>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</si>
  <si>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</si>
  <si>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</si>
  <si>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</si>
  <si>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</si>
  <si>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</si>
  <si>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</si>
  <si>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</si>
  <si>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</si>
  <si>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</si>
  <si>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</si>
  <si>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</si>
  <si>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</si>
  <si>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</si>
  <si>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</si>
  <si>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</si>
  <si>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</si>
  <si>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</si>
  <si>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</si>
  <si>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</si>
  <si>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</si>
  <si>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</si>
  <si>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</si>
  <si>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</si>
  <si>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</si>
  <si>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</si>
  <si>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</si>
  <si>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</si>
  <si>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</si>
  <si>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</si>
  <si>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</si>
  <si>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</si>
  <si>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</si>
  <si>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</si>
  <si>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</si>
  <si>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</si>
  <si>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</si>
  <si>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</si>
  <si>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</si>
  <si>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</si>
  <si>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</si>
  <si>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</si>
  <si>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</si>
  <si>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</si>
  <si>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</si>
  <si>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</si>
  <si>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</si>
  <si>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</si>
  <si>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</si>
  <si>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</si>
  <si>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</si>
  <si>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</si>
  <si>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</si>
  <si>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</si>
  <si>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</si>
  <si>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</si>
  <si>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</si>
  <si>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</si>
  <si>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</si>
  <si>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</si>
  <si>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</si>
  <si>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</si>
  <si>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</si>
  <si>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</si>
  <si>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</si>
  <si>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</si>
  <si>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</si>
  <si>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</si>
  <si>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</si>
  <si>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</si>
  <si>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</si>
  <si>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</si>
  <si>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</si>
  <si>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</si>
  <si>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</si>
  <si>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</si>
  <si>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</si>
  <si>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</si>
  <si>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</si>
  <si>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</si>
  <si>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</si>
  <si>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</si>
  <si>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</si>
  <si>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</si>
  <si>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</si>
  <si>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</si>
  <si>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</si>
  <si>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</si>
  <si>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</si>
  <si>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</si>
  <si>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</si>
  <si>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</si>
  <si>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</si>
  <si>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</si>
  <si>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</si>
  <si>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</si>
  <si>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</si>
  <si>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</si>
  <si>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</si>
  <si>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</si>
  <si>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</si>
  <si>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</si>
  <si>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</si>
  <si>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</si>
  <si>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</si>
  <si>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</si>
  <si>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</si>
  <si>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</si>
  <si>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</si>
  <si>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</si>
  <si>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</si>
  <si>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</si>
  <si>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</si>
  <si>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</si>
  <si>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</si>
  <si>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</si>
  <si>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</si>
  <si>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</si>
  <si>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</si>
  <si>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</si>
  <si>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</si>
  <si>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</si>
  <si>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</si>
  <si>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</si>
  <si>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</si>
  <si>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</si>
  <si>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</si>
  <si>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</si>
  <si>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</si>
  <si>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</si>
  <si>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</si>
  <si>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</si>
  <si>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</si>
  <si>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</si>
  <si>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</si>
  <si>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</si>
  <si>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</si>
  <si>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</si>
  <si>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</si>
  <si>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</si>
  <si>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</si>
  <si>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</si>
  <si>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</si>
  <si>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</si>
  <si>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</si>
  <si>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</si>
  <si>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</si>
  <si>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</si>
  <si>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</si>
  <si>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</si>
  <si>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</si>
  <si>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</si>
  <si>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</si>
  <si>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</si>
  <si>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</si>
  <si>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</si>
  <si>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</si>
  <si>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</si>
  <si>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</si>
  <si>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</si>
  <si>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</si>
  <si>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</si>
  <si>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</si>
  <si>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</si>
  <si>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</si>
  <si>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</si>
  <si>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</si>
  <si>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</si>
  <si>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</si>
  <si>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</si>
  <si>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</si>
  <si>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</si>
  <si>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</si>
  <si>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</si>
  <si>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</si>
  <si>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</si>
  <si>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</si>
  <si>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</si>
  <si>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</si>
  <si>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</si>
  <si>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</si>
  <si>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</si>
  <si>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</si>
  <si>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</si>
  <si>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</si>
  <si>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</si>
  <si>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</si>
  <si>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</si>
  <si>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</si>
  <si>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</si>
  <si>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</si>
  <si>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</si>
  <si>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</si>
  <si>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</si>
  <si>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</si>
  <si>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</si>
  <si>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</si>
  <si>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</si>
  <si>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</si>
  <si>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</si>
  <si>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</si>
  <si>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</si>
  <si>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</si>
  <si>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</si>
  <si>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</si>
  <si>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</si>
  <si>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</si>
  <si>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</si>
  <si>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</si>
  <si>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</si>
  <si>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</si>
  <si>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</si>
  <si>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</si>
  <si>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</si>
  <si>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</si>
  <si>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</si>
  <si>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</si>
  <si>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</si>
  <si>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</si>
  <si>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</si>
  <si>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</si>
  <si>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</si>
  <si>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</si>
  <si>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</si>
  <si>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</si>
  <si>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</si>
  <si>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</si>
  <si>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</si>
  <si>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</si>
  <si>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</si>
  <si>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</si>
  <si>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</si>
  <si>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</si>
  <si>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</si>
  <si>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</si>
  <si>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</si>
  <si>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</si>
  <si>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</si>
  <si>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</si>
  <si>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</si>
  <si>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</si>
  <si>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</si>
  <si>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</si>
  <si>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</si>
  <si>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</si>
  <si>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</si>
  <si>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</si>
  <si>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</si>
  <si>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</si>
  <si>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</si>
  <si>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</si>
  <si>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</si>
  <si>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</si>
  <si>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</si>
  <si>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</si>
  <si>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</si>
  <si>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</si>
  <si>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</si>
  <si>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</si>
  <si>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</si>
  <si>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</si>
  <si>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</si>
  <si>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</si>
  <si>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</si>
  <si>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</si>
  <si>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</si>
  <si>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</si>
  <si>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</si>
  <si>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</si>
  <si>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</si>
  <si>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</si>
  <si>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</si>
  <si>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</si>
  <si>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</si>
  <si>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</si>
  <si>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</si>
  <si>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</si>
  <si>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</si>
  <si>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</si>
  <si>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</si>
  <si>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</si>
  <si>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</si>
  <si>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</si>
  <si>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</si>
  <si>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</si>
  <si>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</si>
  <si>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</si>
  <si>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</si>
  <si>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</si>
  <si>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</si>
  <si>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</si>
  <si>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</si>
  <si>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</si>
  <si>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</si>
  <si>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</si>
  <si>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</si>
  <si>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</si>
  <si>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</si>
  <si>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</si>
  <si>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</si>
  <si>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t>
  </si>
  <si>
    <t>2023 Q1</t>
  </si>
  <si>
    <t>2023 Q2</t>
  </si>
  <si>
    <t>Major Developments - % decisions in time</t>
  </si>
  <si>
    <t>Minor Developments - % decisions in time</t>
  </si>
  <si>
    <t>Other Developments - % decisions in time</t>
  </si>
  <si>
    <t>2023 Q3</t>
  </si>
  <si>
    <t>2023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</si>
</sst>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3"/>
                <c:pt idx="32">
                  <c:v>u</c:v>
                </c:pt>
              </c:strCache>
            </c:strRef>
          </c:cat>
          <c:val>
            <c:numRef>
              <c:f>[0]!TopQuart</c:f>
              <c:numCache>
                <c:formatCode>General</c:formatCode>
                <c:ptCount val="6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3"/>
                <c:pt idx="32">
                  <c:v>u</c:v>
                </c:pt>
              </c:strCache>
            </c:strRef>
          </c:cat>
          <c:val>
            <c:numRef>
              <c:f>[0]!SecQuart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96.969696969696969</c:v>
                </c:pt>
                <c:pt idx="25">
                  <c:v>96.15384615384616</c:v>
                </c:pt>
                <c:pt idx="26">
                  <c:v>96</c:v>
                </c:pt>
                <c:pt idx="27">
                  <c:v>92.307692307692307</c:v>
                </c:pt>
                <c:pt idx="28">
                  <c:v>91.666666666666657</c:v>
                </c:pt>
                <c:pt idx="29">
                  <c:v>91.666666666666657</c:v>
                </c:pt>
                <c:pt idx="30">
                  <c:v>91.044776119402982</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3"/>
                <c:pt idx="32">
                  <c:v>u</c:v>
                </c:pt>
              </c:strCache>
            </c:strRef>
          </c:cat>
          <c:val>
            <c:numRef>
              <c:f>[0]!ThirdQuart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90.909090909090907</c:v>
                </c:pt>
                <c:pt idx="32">
                  <c:v>90.909090909090907</c:v>
                </c:pt>
                <c:pt idx="33">
                  <c:v>90.909090909090907</c:v>
                </c:pt>
                <c:pt idx="34">
                  <c:v>90</c:v>
                </c:pt>
                <c:pt idx="35">
                  <c:v>89.285714285714292</c:v>
                </c:pt>
                <c:pt idx="36">
                  <c:v>88.888888888888886</c:v>
                </c:pt>
                <c:pt idx="37">
                  <c:v>88.888888888888886</c:v>
                </c:pt>
                <c:pt idx="38">
                  <c:v>88.888888888888886</c:v>
                </c:pt>
                <c:pt idx="39">
                  <c:v>88.461538461538453</c:v>
                </c:pt>
                <c:pt idx="40">
                  <c:v>88.235294117647058</c:v>
                </c:pt>
                <c:pt idx="41">
                  <c:v>87.878787878787875</c:v>
                </c:pt>
                <c:pt idx="42">
                  <c:v>87.5</c:v>
                </c:pt>
                <c:pt idx="43">
                  <c:v>87.5</c:v>
                </c:pt>
                <c:pt idx="44">
                  <c:v>87.5</c:v>
                </c:pt>
                <c:pt idx="45">
                  <c:v>85.714285714285708</c:v>
                </c:pt>
                <c:pt idx="46">
                  <c:v>85.714285714285708</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3"/>
                <c:pt idx="32">
                  <c:v>u</c:v>
                </c:pt>
              </c:strCache>
            </c:strRef>
          </c:cat>
          <c:val>
            <c:numRef>
              <c:f>[0]!BotQuart</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83.333333333333343</c:v>
                </c:pt>
                <c:pt idx="48">
                  <c:v>83.333333333333343</c:v>
                </c:pt>
                <c:pt idx="49">
                  <c:v>83.333333333333343</c:v>
                </c:pt>
                <c:pt idx="50">
                  <c:v>83.333333333333343</c:v>
                </c:pt>
                <c:pt idx="51">
                  <c:v>80</c:v>
                </c:pt>
                <c:pt idx="52">
                  <c:v>80</c:v>
                </c:pt>
                <c:pt idx="53">
                  <c:v>80</c:v>
                </c:pt>
                <c:pt idx="54">
                  <c:v>75</c:v>
                </c:pt>
                <c:pt idx="55">
                  <c:v>75</c:v>
                </c:pt>
                <c:pt idx="56">
                  <c:v>74.074074074074076</c:v>
                </c:pt>
                <c:pt idx="57">
                  <c:v>68.965517241379317</c:v>
                </c:pt>
                <c:pt idx="58">
                  <c:v>66.666666666666657</c:v>
                </c:pt>
                <c:pt idx="59">
                  <c:v>66.666666666666657</c:v>
                </c:pt>
                <c:pt idx="60">
                  <c:v>62.5</c:v>
                </c:pt>
                <c:pt idx="61">
                  <c:v>60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3"/>
                <c:pt idx="32">
                  <c:v>u</c:v>
                </c:pt>
              </c:strCache>
            </c:strRef>
          </c:cat>
          <c:val>
            <c:numRef>
              <c:f>[0]!MarkData</c:f>
              <c:numCache>
                <c:formatCode>0.00</c:formatCode>
                <c:ptCount val="6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96.969696969696969</c:v>
                </c:pt>
                <c:pt idx="25">
                  <c:v>96.15384615384616</c:v>
                </c:pt>
                <c:pt idx="26">
                  <c:v>96</c:v>
                </c:pt>
                <c:pt idx="27">
                  <c:v>92.307692307692307</c:v>
                </c:pt>
                <c:pt idx="28">
                  <c:v>91.666666666666657</c:v>
                </c:pt>
                <c:pt idx="29">
                  <c:v>91.666666666666657</c:v>
                </c:pt>
                <c:pt idx="30">
                  <c:v>91.044776119402982</c:v>
                </c:pt>
                <c:pt idx="31">
                  <c:v>90.909090909090907</c:v>
                </c:pt>
                <c:pt idx="32">
                  <c:v>90.909090909090907</c:v>
                </c:pt>
                <c:pt idx="33">
                  <c:v>90.909090909090907</c:v>
                </c:pt>
                <c:pt idx="34">
                  <c:v>90</c:v>
                </c:pt>
                <c:pt idx="35">
                  <c:v>89.285714285714292</c:v>
                </c:pt>
                <c:pt idx="36">
                  <c:v>88.888888888888886</c:v>
                </c:pt>
                <c:pt idx="37">
                  <c:v>88.888888888888886</c:v>
                </c:pt>
                <c:pt idx="38">
                  <c:v>88.888888888888886</c:v>
                </c:pt>
                <c:pt idx="39">
                  <c:v>88.461538461538453</c:v>
                </c:pt>
                <c:pt idx="40">
                  <c:v>88.235294117647058</c:v>
                </c:pt>
                <c:pt idx="41">
                  <c:v>87.878787878787875</c:v>
                </c:pt>
                <c:pt idx="42">
                  <c:v>87.5</c:v>
                </c:pt>
                <c:pt idx="43">
                  <c:v>87.5</c:v>
                </c:pt>
                <c:pt idx="44">
                  <c:v>87.5</c:v>
                </c:pt>
                <c:pt idx="45">
                  <c:v>85.714285714285708</c:v>
                </c:pt>
                <c:pt idx="46">
                  <c:v>85.714285714285708</c:v>
                </c:pt>
                <c:pt idx="47">
                  <c:v>83.333333333333343</c:v>
                </c:pt>
                <c:pt idx="48">
                  <c:v>83.333333333333343</c:v>
                </c:pt>
                <c:pt idx="49">
                  <c:v>83.333333333333343</c:v>
                </c:pt>
                <c:pt idx="50">
                  <c:v>83.333333333333343</c:v>
                </c:pt>
                <c:pt idx="51">
                  <c:v>80</c:v>
                </c:pt>
                <c:pt idx="52">
                  <c:v>80</c:v>
                </c:pt>
                <c:pt idx="53">
                  <c:v>80</c:v>
                </c:pt>
                <c:pt idx="54">
                  <c:v>75</c:v>
                </c:pt>
                <c:pt idx="55">
                  <c:v>75</c:v>
                </c:pt>
                <c:pt idx="56">
                  <c:v>74.074074074074076</c:v>
                </c:pt>
                <c:pt idx="57">
                  <c:v>68.965517241379317</c:v>
                </c:pt>
                <c:pt idx="58">
                  <c:v>66.666666666666657</c:v>
                </c:pt>
                <c:pt idx="59">
                  <c:v>66.666666666666657</c:v>
                </c:pt>
                <c:pt idx="60">
                  <c:v>62.5</c:v>
                </c:pt>
                <c:pt idx="61">
                  <c:v>60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90.909090909090907</c:v>
                </c:pt>
                <c:pt idx="1">
                  <c:v>90.245152394069166</c:v>
                </c:pt>
                <c:pt idx="2">
                  <c:v>91.569184491978604</c:v>
                </c:pt>
                <c:pt idx="3">
                  <c:v>87.642680714777001</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90.976933514246952</c:v>
                </c:pt>
                <c:pt idx="1">
                  <c:v>90.976933514246952</c:v>
                </c:pt>
                <c:pt idx="2">
                  <c:v>90.976933514246952</c:v>
                </c:pt>
                <c:pt idx="3">
                  <c:v>90.976933514246952</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85.714285714285708</c:v>
                </c:pt>
                <c:pt idx="1">
                  <c:v>85.714285714285708</c:v>
                </c:pt>
                <c:pt idx="2">
                  <c:v>85.714285714285708</c:v>
                </c:pt>
                <c:pt idx="3">
                  <c:v>85.714285714285708</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90.909090909090907</c:v>
                </c:pt>
                <c:pt idx="1">
                  <c:v>86.816968199157657</c:v>
                </c:pt>
                <c:pt idx="2">
                  <c:v>92.049162257495581</c:v>
                </c:pt>
                <c:pt idx="3">
                  <c:v>89.015916743189479</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90.976933514246952</c:v>
                </c:pt>
                <c:pt idx="1">
                  <c:v>90.976933514246952</c:v>
                </c:pt>
                <c:pt idx="2">
                  <c:v>90.976933514246952</c:v>
                </c:pt>
                <c:pt idx="3">
                  <c:v>90.976933514246952</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85.714285714285708</c:v>
                </c:pt>
                <c:pt idx="1">
                  <c:v>85.714285714285708</c:v>
                </c:pt>
                <c:pt idx="2">
                  <c:v>85.714285714285708</c:v>
                </c:pt>
                <c:pt idx="3">
                  <c:v>85.714285714285708</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W12" sqref="W12:AM12"/>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Unitary</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304</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904</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Unitary</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North West</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Rural Classification:</v>
      </c>
      <c r="C10" s="256"/>
      <c r="D10" s="256"/>
      <c r="E10" s="256"/>
      <c r="F10" s="256"/>
      <c r="G10" s="256"/>
      <c r="H10" s="256"/>
      <c r="I10" s="256"/>
      <c r="J10" s="245" t="str">
        <f>IF('Filtered Data'!D1="L","",IF('Filtered Data'!D1="MD",'Filtered Data'!I3,IF('Filtered Data'!D1="SD",'Filtered Data'!I3,'Filtered Data'!H3)))</f>
        <v>Urban with Significant Rural</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
      </c>
      <c r="C11" s="256"/>
      <c r="D11" s="256"/>
      <c r="E11" s="256"/>
      <c r="F11" s="256"/>
      <c r="G11" s="256"/>
      <c r="H11" s="256"/>
      <c r="I11" s="256"/>
      <c r="J11" s="3" t="str">
        <f>IF('Filtered Data'!D1="MD",'Filtered Data'!H3,IF('Filtered Data'!D1="SD",'Filtered Data'!H3,""))</f>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908</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- 2023 Q4</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v>
      </c>
      <c r="L32" s="281"/>
      <c r="M32" s="281"/>
      <c r="N32" s="291" t="s">
        <v>351</v>
      </c>
      <c r="O32" s="291"/>
      <c r="P32" s="291"/>
      <c r="Q32" s="291"/>
      <c r="R32" s="291"/>
      <c r="S32" s="291"/>
      <c r="T32" s="281">
        <f>IF('Filtered Data'!$H$8="..",'Filtered Data'!P10,'Filtered Data'!P10/100)</f>
        <v>0.90976933514246949</v>
      </c>
      <c r="U32" s="281"/>
      <c r="V32" s="281"/>
      <c r="W32" s="281"/>
      <c r="X32" s="279" t="s">
        <v>352</v>
      </c>
      <c r="Y32" s="279"/>
      <c r="Z32" s="279"/>
      <c r="AA32" s="279"/>
      <c r="AB32" s="279"/>
      <c r="AC32" s="281">
        <f>IF('Filtered Data'!$H$8="..",'Filtered Data'!Q10,'Filtered Data'!Q10/100)</f>
        <v>0.8571428571428571</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62 Unitary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Cheshire East</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0.90909090909090906</v>
      </c>
      <c r="M35" s="276"/>
      <c r="N35" s="276"/>
      <c r="O35" s="276"/>
      <c r="P35" s="92"/>
      <c r="Q35" s="276" t="s">
        <v>353</v>
      </c>
      <c r="R35" s="276"/>
      <c r="S35" s="276"/>
      <c r="T35" s="276"/>
      <c r="U35" s="276"/>
      <c r="V35" s="276"/>
      <c r="W35" s="276"/>
      <c r="AP35" s="56"/>
    </row>
    <row r="36" spans="2:16384" ht="12.75" customHeight="1">
      <c r="B36" s="275" t="str">
        <f>'Filtered Data'!R8&amp;" Quartile"</f>
        <v>Third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Unitaries</v>
      </c>
      <c r="C37" s="93"/>
      <c r="D37" s="93"/>
      <c r="E37" s="93"/>
      <c r="F37" s="93"/>
      <c r="G37" s="93"/>
      <c r="H37" s="93"/>
      <c r="I37" s="93"/>
      <c r="J37" s="315" t="s">
        <v>798</v>
      </c>
      <c r="K37" s="94" t="str">
        <f>IF(Q37="","",IF('Filtered Data'!I8="D",IF($L$35&gt;=L37,"J","L"),IF('Filtered Data'!I8="A",IF($L$35&lt;=L37,"J","L"))))</f>
        <v>J</v>
      </c>
      <c r="L37" s="290">
        <f>'Filtered Data'!M9</f>
        <v>0.90245152394069161</v>
      </c>
      <c r="M37" s="290"/>
      <c r="N37" s="290"/>
      <c r="O37" s="290"/>
      <c r="P37" s="95"/>
      <c r="Q37" s="289">
        <f>VLOOKUP(J5,'Filtered Data'!C:I,7,FALSE)</f>
        <v>33</v>
      </c>
      <c r="R37" s="289"/>
      <c r="S37" s="96"/>
      <c r="T37" s="97" t="s">
        <v>354</v>
      </c>
      <c r="U37" s="98"/>
      <c r="V37" s="289">
        <f>COUNT('Filtered Data'!I11:I333)</f>
        <v>62</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Rural</v>
      </c>
      <c r="C38" s="93"/>
      <c r="D38" s="93"/>
      <c r="E38" s="93"/>
      <c r="F38" s="93"/>
      <c r="G38" s="93"/>
      <c r="H38" s="93"/>
      <c r="I38" s="93"/>
      <c r="J38" s="316"/>
      <c r="K38" s="94" t="str">
        <f>IF(Q38="","",IF('Filtered Data'!I8="D",IF($L$35&gt;=L38,"J","L"),IF('Filtered Data'!I8="A",IF($L$35&lt;=L38,"J","L"))))</f>
        <v>J</v>
      </c>
      <c r="L38" s="290">
        <f>IF('Filtered Data'!D1="L",'Filtered Data'!AG9,'Filtered Data'!Y9)</f>
        <v>0.87642680714776999</v>
      </c>
      <c r="M38" s="290"/>
      <c r="N38" s="290"/>
      <c r="O38" s="290"/>
      <c r="P38" s="95"/>
      <c r="Q38" s="293">
        <f>IF(ISERROR(IF('Filtered Data'!D1="L",VLOOKUP(J5,'Filtered Data'!AF11:AH25,3,FALSE),VLOOKUP(J5,'Filtered Data'!$L$11:$Z$333,15,FALSE))),"",(IF('Filtered Data'!D1="L",VLOOKUP(J5,'Filtered Data'!AF11:AH25,3,FALSE),VLOOKUP(J5,'Filtered Data'!$L$11:$Z$333,15,FALSE))))</f>
        <v>9</v>
      </c>
      <c r="R38" s="293"/>
      <c r="S38" s="296" t="s">
        <v>354</v>
      </c>
      <c r="T38" s="290"/>
      <c r="U38" s="290"/>
      <c r="V38" s="289">
        <f>IF('Filtered Data'!D1="L",16,COUNT('Filtered Data'!Z:Z))</f>
        <v>23</v>
      </c>
      <c r="W38" s="289"/>
      <c r="AB38" s="110"/>
      <c r="AC38" s="110"/>
      <c r="AD38" s="110"/>
      <c r="AE38" s="110"/>
      <c r="AF38" s="110"/>
      <c r="AG38" s="110"/>
      <c r="AH38" s="110"/>
      <c r="AI38" s="110"/>
      <c r="AJ38" s="110"/>
      <c r="AK38" s="110"/>
      <c r="AL38" s="110"/>
      <c r="AM38" s="110"/>
      <c r="AP38" s="56"/>
    </row>
    <row r="39" spans="2:16384">
      <c r="B39" s="93" t="str">
        <f>IF('Filtered Data'!D1="L","",IF('Filtered Data'!D1="SD",J10,"Regional"))</f>
        <v>Regional</v>
      </c>
      <c r="C39" s="93"/>
      <c r="D39" s="93"/>
      <c r="E39" s="93"/>
      <c r="F39" s="93"/>
      <c r="G39" s="93"/>
      <c r="H39" s="93"/>
      <c r="I39" s="93"/>
      <c r="J39" s="316"/>
      <c r="K39" s="94" t="str">
        <f>IF(Q39="","",IF('Filtered Data'!I8="D",IF($L$35&gt;=L39,"J","L"),IF('Filtered Data'!I8="A",IF($L$35&lt;=L39,"J","L"))))</f>
        <v>L</v>
      </c>
      <c r="L39" s="290">
        <f>IF('Filtered Data'!D1="L","",IF('Filtered Data'!D1="SD",'Filtered Data'!AJ9,'Filtered Data'!AQ9))</f>
        <v>0.91569184491978606</v>
      </c>
      <c r="M39" s="290"/>
      <c r="N39" s="290"/>
      <c r="O39" s="290"/>
      <c r="P39" s="95"/>
      <c r="Q39" s="289">
        <f>IF(ISERROR(IF('Filtered Data'!D1="L","",IF('Filtered Data'!D1="SD",VLOOKUP(J5,'Filtered Data'!L:AK,26,FALSE),(VLOOKUP(J5,'Filtered Data'!L:AR,33,FALSE))))),"",(IF('Filtered Data'!D1="L","",IF('Filtered Data'!D1="SD",VLOOKUP(J5,'Filtered Data'!L:AK,26,FALSE),(VLOOKUP(J5,'Filtered Data'!L:AR,33,FALSE))))))</f>
        <v>6</v>
      </c>
      <c r="R39" s="289"/>
      <c r="S39" s="96"/>
      <c r="T39" s="98" t="str">
        <f>IF(B39="","","out of")</f>
        <v>out of</v>
      </c>
      <c r="U39" s="98"/>
      <c r="V39" s="289">
        <f>IF('Filtered Data'!D1="L","",IF('Filtered Data'!D1="SD",COUNT('Filtered Data'!AK11:AK333),(COUNT('Filtered Data'!AQ11:AQ333))))</f>
        <v>8</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- 2023 Q4</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Cheshire East</v>
      </c>
      <c r="E48" s="285">
        <f>IF('Filtered Data'!$H$8="..",L35,L35*100)</f>
        <v>90.909090909090907</v>
      </c>
      <c r="F48" s="285"/>
      <c r="G48" s="285"/>
      <c r="H48" s="285"/>
      <c r="K48" s="240">
        <f>IF('Filtered Data'!$H$8="..",K$32,K$32*100)</f>
        <v>100</v>
      </c>
      <c r="L48" s="240"/>
      <c r="M48" s="240">
        <f>IF('Filtered Data'!$H$8="..",T$32,T$32*100)</f>
        <v>90.976933514246952</v>
      </c>
      <c r="N48" s="240"/>
      <c r="O48" s="240">
        <f>IF('Filtered Data'!$H$8="..",AC$32,AC$32*100)</f>
        <v>85.714285714285708</v>
      </c>
      <c r="P48" s="240"/>
      <c r="AM48" s="6"/>
      <c r="AP48" s="56"/>
    </row>
    <row r="49" spans="2:42">
      <c r="B49" s="5"/>
      <c r="D49" t="str">
        <f>B37</f>
        <v>Unitaries</v>
      </c>
      <c r="E49" s="285">
        <f>IF('Filtered Data'!$H$8="..",L37,L37*100)</f>
        <v>90.245152394069166</v>
      </c>
      <c r="F49" s="285"/>
      <c r="G49" s="285"/>
      <c r="H49" s="285"/>
      <c r="K49" s="240">
        <f>IF('Filtered Data'!$H$8="..",K$32,K$32*100)</f>
        <v>100</v>
      </c>
      <c r="L49" s="240"/>
      <c r="M49" s="240">
        <f>IF('Filtered Data'!$H$8="..",T$32,T$32*100)</f>
        <v>90.976933514246952</v>
      </c>
      <c r="N49" s="240"/>
      <c r="O49" s="240">
        <f>IF('Filtered Data'!$H$8="..",AC$32,AC$32*100)</f>
        <v>85.714285714285708</v>
      </c>
      <c r="P49" s="240"/>
      <c r="AM49" s="6"/>
      <c r="AP49" s="56"/>
    </row>
    <row r="50" spans="2:42">
      <c r="B50" s="5"/>
      <c r="D50" s="64" t="str">
        <f>B39</f>
        <v>Regional</v>
      </c>
      <c r="E50" s="285">
        <f>IF('Filtered Data'!$H$8="..",L39,L39*100)</f>
        <v>91.569184491978604</v>
      </c>
      <c r="F50" s="285"/>
      <c r="G50" s="285"/>
      <c r="H50" s="285"/>
      <c r="K50" s="240">
        <f>IF('Filtered Data'!$H$8="..",K$32,K$32*100)</f>
        <v>100</v>
      </c>
      <c r="L50" s="240"/>
      <c r="M50" s="240">
        <f>IF('Filtered Data'!$H$8="..",T$32,T$32*100)</f>
        <v>90.976933514246952</v>
      </c>
      <c r="N50" s="240"/>
      <c r="O50" s="240">
        <f>IF('Filtered Data'!$H$8="..",AC$32,AC$32*100)</f>
        <v>85.714285714285708</v>
      </c>
      <c r="P50" s="240"/>
      <c r="AM50" s="6"/>
      <c r="AP50" s="56"/>
    </row>
    <row r="51" spans="2:42">
      <c r="B51" s="5"/>
      <c r="D51" s="228" t="str">
        <f>B38</f>
        <v>Rural</v>
      </c>
      <c r="E51" s="285">
        <f>IF('Filtered Data'!$H$8="..",L38,L38*100)</f>
        <v>87.642680714777001</v>
      </c>
      <c r="F51" s="285"/>
      <c r="G51" s="285"/>
      <c r="H51" s="285"/>
      <c r="K51" s="240">
        <f>IF('Filtered Data'!$H$8="..",K$32,K$32*100)</f>
        <v>100</v>
      </c>
      <c r="L51" s="240"/>
      <c r="M51" s="240">
        <f>IF('Filtered Data'!$H$8="..",T$32,T$32*100)</f>
        <v>90.976933514246952</v>
      </c>
      <c r="N51" s="240"/>
      <c r="O51" s="240">
        <f>IF('Filtered Data'!$H$8="..",AC$32,AC$32*100)</f>
        <v>85.714285714285708</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- 2023 Q4</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Bath &amp; North East Somerset</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Blackburn with Darwen</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Blackpool</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Brighton &amp; Hove</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Cheshire West &amp; Chester</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Derby</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Halton</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Hartlepool</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Kingston upon Hull</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Leicester</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Medway</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Milton Keynes</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North East Lincolnshire</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Plymouth</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Portsmouth</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Reading</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Redcar &amp; Cleveland</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Southend-on-Sea</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Stoke-on-Trent</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Swindon</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f>IF(Q37&lt;=MAX(B66:D85),"",Q37)</f>
        <v>33</v>
      </c>
      <c r="C86" s="317"/>
      <c r="D86" s="317"/>
      <c r="E86" s="244" t="str">
        <f>IF(B86="","",VLOOKUP(B86,'Filtered Data'!K:L,2,FALSE))</f>
        <v>Cheshire East</v>
      </c>
      <c r="F86" s="244"/>
      <c r="G86" s="244"/>
      <c r="H86" s="244"/>
      <c r="I86" s="244"/>
      <c r="J86" s="244"/>
      <c r="K86" s="244"/>
      <c r="L86" s="244"/>
      <c r="M86" s="244"/>
      <c r="N86" s="244"/>
      <c r="O86" s="244"/>
      <c r="P86" s="244"/>
      <c r="Q86" s="244"/>
      <c r="R86" s="244"/>
      <c r="S86" s="244"/>
      <c r="T86" s="244"/>
      <c r="U86" s="261">
        <f>IF(B86="","",L35)</f>
        <v>0.90909090909090906</v>
      </c>
      <c r="V86" s="261"/>
      <c r="W86" s="261"/>
      <c r="X86" s="261"/>
      <c r="Y86" s="132" t="str">
        <f>IF(B86="","",IF((VLOOKUP(E86,classifications!C:K,9,FALSE))="Sparse","S",""))</f>
        <v>S</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Regional Authorites:</v>
      </c>
      <c r="K89" s="1" t="str">
        <f>IF('Filtered Data'!D1="UA",J9,J10)</f>
        <v>North West</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Blackburn with Darwen</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Blackpool</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42"/>
      <c r="W93" s="242"/>
      <c r="X93" s="242"/>
      <c r="Y93" s="133" t="str">
        <f>IF(E93="","",IF((VLOOKUP(E93,classifications!C:K,9,FALSE))="Sparse","S",""))</f>
        <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Cheshire West &amp; Chester</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42"/>
      <c r="W94" s="242"/>
      <c r="X94" s="242"/>
      <c r="Y94" s="133" t="str">
        <f>IF(E94="","",IF((VLOOKUP(E94,classifications!C:K,9,FALSE))="Sparse","S",""))</f>
        <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Halton</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v>
      </c>
      <c r="V95" s="242"/>
      <c r="W95" s="242"/>
      <c r="X95" s="242"/>
      <c r="Y95" s="133" t="str">
        <f>IF(E95="","",IF((VLOOKUP(E95,classifications!C:K,9,FALSE))="Sparse","S",""))</f>
        <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Westmorland &amp; Furness</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0.90909090909090906</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f>IF('Filtered Data'!$D$1="MD","",IF('Filtered Data'!$D$1="SC","",IF('Filtered Data'!$D$1="UA",'Filtered Data'!AS16,'Filtered Data'!AL16)))</f>
        <v>6</v>
      </c>
      <c r="C97" s="252"/>
      <c r="D97" s="252"/>
      <c r="E97" s="244" t="str">
        <f>IF(B97="","",IF('Filtered Data'!$D$1="UA",VLOOKUP(B97,'Filtered Data'!AS:AU,2,FALSE),VLOOKUP(B97,'Filtered Data'!AL:AN,2,FALSE)))</f>
        <v>Cheshire East</v>
      </c>
      <c r="F97" s="244"/>
      <c r="G97" s="244"/>
      <c r="H97" s="244"/>
      <c r="I97" s="244"/>
      <c r="J97" s="244"/>
      <c r="K97" s="244"/>
      <c r="L97" s="244"/>
      <c r="M97" s="244"/>
      <c r="N97" s="244"/>
      <c r="O97" s="244"/>
      <c r="P97" s="244"/>
      <c r="Q97" s="244"/>
      <c r="R97" s="244"/>
      <c r="S97" s="244"/>
      <c r="T97" s="244"/>
      <c r="U97" s="242">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0.90909090909090906</v>
      </c>
      <c r="V97" s="242"/>
      <c r="W97" s="242"/>
      <c r="X97" s="242"/>
      <c r="Y97" s="133" t="str">
        <f>IF(E97="","",IF((VLOOKUP(E97,classifications!C:K,9,FALSE))="Sparse","S",""))</f>
        <v>S</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f>IF('Filtered Data'!$D$1="MD","",IF('Filtered Data'!$D$1="SC","",IF('Filtered Data'!$D$1="UA",'Filtered Data'!AS17,'Filtered Data'!AL17)))</f>
        <v>7</v>
      </c>
      <c r="C98" s="252"/>
      <c r="D98" s="252"/>
      <c r="E98" s="244" t="str">
        <f>IF(B98="","",IF('Filtered Data'!$D$1="UA",VLOOKUP(B98,'Filtered Data'!AS:AU,2,FALSE),VLOOKUP(B98,'Filtered Data'!AL:AN,2,FALSE)))</f>
        <v>Cumberland</v>
      </c>
      <c r="F98" s="244"/>
      <c r="G98" s="244"/>
      <c r="H98" s="244"/>
      <c r="I98" s="244"/>
      <c r="J98" s="244"/>
      <c r="K98" s="244"/>
      <c r="L98" s="244"/>
      <c r="M98" s="244"/>
      <c r="N98" s="244"/>
      <c r="O98" s="244"/>
      <c r="P98" s="244"/>
      <c r="Q98" s="244"/>
      <c r="R98" s="244"/>
      <c r="S98" s="244"/>
      <c r="T98" s="244"/>
      <c r="U98" s="242">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0.88235294117647056</v>
      </c>
      <c r="V98" s="242"/>
      <c r="W98" s="242"/>
      <c r="X98" s="242"/>
      <c r="Y98" s="133" t="str">
        <f>IF(E98="","",IF((VLOOKUP(E98,classifications!C:K,9,FALSE))="Sparse","S",""))</f>
        <v>S</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f>IF('Filtered Data'!$D$1="MD","",IF('Filtered Data'!$D$1="SC","",IF('Filtered Data'!$D$1="UA",'Filtered Data'!AS18,'Filtered Data'!AL18)))</f>
        <v>8</v>
      </c>
      <c r="C99" s="252"/>
      <c r="D99" s="252"/>
      <c r="E99" s="244" t="str">
        <f>IF(B99="","",IF('Filtered Data'!$D$1="UA",VLOOKUP(B99,'Filtered Data'!AS:AU,2,FALSE),VLOOKUP(B99,'Filtered Data'!AL:AN,2,FALSE)))</f>
        <v>Warrington</v>
      </c>
      <c r="F99" s="244"/>
      <c r="G99" s="244"/>
      <c r="H99" s="244"/>
      <c r="I99" s="244"/>
      <c r="J99" s="244"/>
      <c r="K99" s="244"/>
      <c r="L99" s="244"/>
      <c r="M99" s="244"/>
      <c r="N99" s="244"/>
      <c r="O99" s="244"/>
      <c r="P99" s="244"/>
      <c r="Q99" s="244"/>
      <c r="R99" s="244"/>
      <c r="S99" s="244"/>
      <c r="T99" s="244"/>
      <c r="U99" s="242">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0.625</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0.91569184491978606</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- 2023 Q4</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Cheshire East</v>
      </c>
      <c r="G118" s="239">
        <f>IF('Filtered Data'!H8="..",L35,L35*100)</f>
        <v>90.909090909090907</v>
      </c>
      <c r="H118" s="239"/>
      <c r="I118" s="239"/>
      <c r="J118" s="239"/>
      <c r="K118" s="239"/>
      <c r="M118" s="240">
        <f>K$48</f>
        <v>100</v>
      </c>
      <c r="N118" s="240"/>
      <c r="O118" s="240">
        <f>M$48</f>
        <v>90.976933514246952</v>
      </c>
      <c r="P118" s="240"/>
      <c r="Q118" s="240">
        <f>O$48</f>
        <v>85.714285714285708</v>
      </c>
      <c r="R118" s="240"/>
      <c r="AN118" s="6"/>
    </row>
    <row r="119" spans="2:40" ht="12" customHeight="1">
      <c r="B119" s="5"/>
      <c r="F119" t="s">
        <v>380</v>
      </c>
      <c r="G119" s="239">
        <f>IF('Filtered Data'!H8="%%",(AVERAGEIF('Filtered Data'!AA$10:AA$333,$F119,'Filtered Data'!M$10:M$333))*100,(AVERAGEIF('Filtered Data'!AA$10:AA$333,$F119,'Filtered Data'!M$10:M$333)))</f>
        <v>86.816968199157657</v>
      </c>
      <c r="H119" s="239"/>
      <c r="I119" s="239"/>
      <c r="J119" s="239"/>
      <c r="K119" s="239"/>
      <c r="M119" s="240">
        <f>K$48</f>
        <v>100</v>
      </c>
      <c r="N119" s="240"/>
      <c r="O119" s="240">
        <f>M$48</f>
        <v>90.976933514246952</v>
      </c>
      <c r="P119" s="240"/>
      <c r="Q119" s="240">
        <f>O$48</f>
        <v>85.714285714285708</v>
      </c>
      <c r="R119" s="240"/>
      <c r="AN119" s="6"/>
    </row>
    <row r="120" spans="2:40" ht="12" customHeight="1">
      <c r="B120" s="5"/>
      <c r="F120" t="s">
        <v>382</v>
      </c>
      <c r="G120" s="239">
        <f>IF('Filtered Data'!H8="%%",(AVERAGEIF('Filtered Data'!AA$10:AA$333,$F120,'Filtered Data'!M$10:M$333))*100,(AVERAGEIF('Filtered Data'!AA$10:AA$333,$F120,'Filtered Data'!M$10:M$333)))</f>
        <v>92.049162257495581</v>
      </c>
      <c r="H120" s="239"/>
      <c r="I120" s="239"/>
      <c r="J120" s="239"/>
      <c r="K120" s="239"/>
      <c r="M120" s="240">
        <f>K$48</f>
        <v>100</v>
      </c>
      <c r="N120" s="240"/>
      <c r="O120" s="240">
        <f>M$48</f>
        <v>90.976933514246952</v>
      </c>
      <c r="P120" s="240"/>
      <c r="Q120" s="240">
        <f>O$48</f>
        <v>85.714285714285708</v>
      </c>
      <c r="R120" s="240"/>
      <c r="AN120" s="6"/>
    </row>
    <row r="121" spans="2:40" ht="12" customHeight="1">
      <c r="B121" s="5"/>
      <c r="F121" t="s">
        <v>892</v>
      </c>
      <c r="G121" s="239">
        <f>IF('Filtered Data'!H8="%%",(AVERAGEIF('Filtered Data'!AA$10:AA$333,$F121,'Filtered Data'!M$10:M$333))*100,(AVERAGEIF('Filtered Data'!AA$10:AA$333,$F121,'Filtered Data'!M$10:M$333)))</f>
        <v>89.015916743189479</v>
      </c>
      <c r="H121" s="239"/>
      <c r="I121" s="239"/>
      <c r="J121" s="239"/>
      <c r="K121" s="239"/>
      <c r="M121" s="240">
        <f>K$48</f>
        <v>100</v>
      </c>
      <c r="N121" s="240"/>
      <c r="O121" s="240">
        <f>M$48</f>
        <v>90.976933514246952</v>
      </c>
      <c r="P121" s="240"/>
      <c r="Q121" s="240">
        <f>O$48</f>
        <v>85.714285714285708</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TwYknbh+2HjoM/oR3JRzfc8WjIV0IWW2ub4BRtQihO0RG2hGd8emM7h3CEyWRAo7Zap3wbSjTamHYSYeKpMsTg==" saltValue="BeXj7h4id0naBaikgE5X8g=="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D1" sqref="D1"/>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385</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Cheshire East</v>
      </c>
      <c r="F3" s="70" t="str">
        <f>VLOOKUP(D3,classifications!C:G,4,FALSE)</f>
        <v>UA</v>
      </c>
      <c r="G3" s="34" t="str">
        <f>VLOOKUP(D3,classifications!C:E,3,FALSE)</f>
        <v>North West</v>
      </c>
      <c r="H3" s="76" t="str">
        <f>VLOOKUP(D3,classifications!C:H,6,FALSE)</f>
        <v>Urban with Significant Rural</v>
      </c>
      <c r="I3" s="34" t="str">
        <f>VLOOKUP(D3,classifications!C:J,8,FALSE)</f>
        <v>Unitary</v>
      </c>
      <c r="J3" s="34" t="str">
        <f>VLOOKUP(D3,classifications!C:I,7,FALSE)</f>
        <v>Urban with Significant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2023 Q4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60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Cheshire East</v>
      </c>
      <c r="Q8" s="102">
        <f>VLOOKUP(D3,L11:N333,3,FALSE)</f>
        <v>90.909090909090907</v>
      </c>
      <c r="R8" s="103" t="str">
        <f>IF(I8="A",IF(Q8&gt;Q10,"Bottom",IF(Q8&gt;P10,"Third",IF(Q8&gt;O10,"Second","Top"))),IF(Q8&gt;=O10,"Top",IF(Q8&gt;=P10,"Second",IF(Q8&gt;=Q10,"Third","Bottom"))))</f>
        <v>Third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UA Authorities only</v>
      </c>
      <c r="I9" s="36"/>
      <c r="K9" s="37" t="str">
        <f>"Rank &amp; Quartiles for all "&amp;D1&amp;" Authorities"</f>
        <v>Rank &amp; Quartiles for all UA Authorities</v>
      </c>
      <c r="M9" s="81">
        <f>IF($H$8="%.",(AVERAGE(M11:M333))/100,(AVERAGE(M11:M333)))</f>
        <v>0.90245152394069161</v>
      </c>
      <c r="N9" s="81"/>
      <c r="O9" s="84" t="s">
        <v>340</v>
      </c>
      <c r="P9" s="84" t="s">
        <v>351</v>
      </c>
      <c r="Q9" s="84" t="s">
        <v>352</v>
      </c>
      <c r="R9" s="86" t="s">
        <v>399</v>
      </c>
      <c r="S9" s="36"/>
      <c r="T9" s="168" t="s">
        <v>819</v>
      </c>
      <c r="U9" s="169">
        <f>IF($H$8="%.",(AVERAGE(U11:U333))/100,(AVERAGE(U11:U333)))</f>
        <v>0.8575474153693099</v>
      </c>
      <c r="V9" s="170"/>
      <c r="W9" s="170"/>
      <c r="X9" s="79" t="str">
        <f>"Lower Level Ranking for Authorites in "&amp;H3&amp;" &amp; are a "&amp;F3</f>
        <v>Lower Level Ranking for Authorites in Urban with Significant Rural &amp; are a UA</v>
      </c>
      <c r="Y9" s="81">
        <f>IF($H$8="%.",(AVERAGE(Y11:Y333))/100,(AVERAGE(Y11:Y333)))</f>
        <v>0.87642680714776999</v>
      </c>
      <c r="Z9" s="80"/>
      <c r="AA9" s="175" t="s">
        <v>378</v>
      </c>
      <c r="AB9" s="169">
        <f>IF($H$8="%.",(AVERAGE(AB11:AB333))/100,(AVERAGE(AB11:AB333)))</f>
        <v>0.89015916743189483</v>
      </c>
      <c r="AC9" s="176"/>
      <c r="AD9" s="176"/>
      <c r="AE9" s="37" t="s">
        <v>408</v>
      </c>
      <c r="AG9" s="81">
        <f>IF($H$8="%.",(AVERAGE(AG11:AG333))/100,(AVERAGE(AG11:AG333)))</f>
        <v>0.99971322053340983</v>
      </c>
      <c r="AI9" s="79" t="str">
        <f>"County Ranking &amp; Top Authorites in "&amp;I3&amp;" &amp; are a "&amp;F3</f>
        <v>County Ranking &amp; Top Authorites in Unitary &amp; are a UA</v>
      </c>
      <c r="AJ9" s="81">
        <f>IF($H$8="%.",(AVERAGE(AJ11:AJ333))/100,(AVERAGE(AJ11:AJ333)))</f>
        <v>0.90245152394069161</v>
      </c>
      <c r="AK9" s="80"/>
      <c r="AL9" s="44"/>
      <c r="AM9"/>
      <c r="AN9"/>
      <c r="AP9" s="79" t="str">
        <f>"Regional Ranking in for "&amp;F3</f>
        <v>Regional Ranking in for UA</v>
      </c>
      <c r="AQ9" s="81">
        <f>IF($H$8="%.",(AVERAGE(AQ11:AQ333))/100,(AVERAGE(AQ11:AQ333)))</f>
        <v>0.91569184491978606</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90.976933514246952</v>
      </c>
      <c r="Q10" s="88">
        <f>IF(I8="A",QUARTILE(N:N,3),QUARTILE(N:N,1))</f>
        <v>85.714285714285708</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2023 Q4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UA1</v>
      </c>
      <c r="B11" s="56" t="str">
        <f>IF(ISERROR(VLOOKUP(A11,classifications!A:C,3,FALSE)),0,VLOOKUP(A11,classifications!A:C,3,FALSE))</f>
        <v>Cheshire East</v>
      </c>
      <c r="C11" t="s">
        <v>4</v>
      </c>
      <c r="D11" t="str">
        <f>VLOOKUP($C11,classifications!$C:$J,4,FALSE)</f>
        <v>SD</v>
      </c>
      <c r="E11">
        <f>VLOOKUP(C11,classifications!C:K,9,FALSE)</f>
        <v>0</v>
      </c>
      <c r="F11">
        <f t="shared" ref="F11:F74" si="0">HLOOKUP($D$6,AX$10:ZX$337,ROW()-9,FALSE)</f>
        <v>0</v>
      </c>
      <c r="G11" s="15"/>
      <c r="H11" s="41" t="str">
        <f t="shared" ref="H11:H74" si="1">IF(D11=$D$1,HLOOKUP($D$6,$AX$10:$ZZ$337,ROW()-9,FALSE),"")</f>
        <v/>
      </c>
      <c r="I11" s="73" t="str">
        <f>IF(H11="","",IF($I$8="A",(RANK(H11,H$11:H$333,1)+COUNTIF(H$11:H11,H11)-1),(RANK(H11,H$11:H$333)+COUNTIF(H$11:H11,H11)-1)))</f>
        <v/>
      </c>
      <c r="J11" s="40"/>
      <c r="K11" s="35">
        <v>1</v>
      </c>
      <c r="L11" t="str">
        <f t="shared" ref="L11:L74" si="2">IF(K11="","",INDEX(C$11:C$327,MATCH(K11,I$11:I$333,0)))</f>
        <v>Bath &amp; North East Somerset</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Urban with Significant Rural</v>
      </c>
      <c r="Y11">
        <f t="shared" ref="Y11:Y12" si="4">IF($D$1="UA",IF(X11="Predominantly Rural ",M11,IF(X11="Predominantly Rural ",M11,IF(X11="Urban with Significant Rural",M11,""))),IF($D$1="SD",IF(X11=$H$3,M11,"")))</f>
        <v>100</v>
      </c>
      <c r="Z11" s="39">
        <f>IF(Y11="","",IF(I$8="A",(RANK(Y11,Y$11:Y$333,1)+COUNTIF(Y$11:Y11,Y11)-1),(RANK(Y11,Y$11:Y$333)+COUNTIF(Y$11:Y11,Y11)-1)))</f>
        <v>1</v>
      </c>
      <c r="AA11" s="177" t="str">
        <f>IF(L11="","",VLOOKUP($L11,classifications!C:I,7,FALSE))</f>
        <v>Urban with Significant Rural</v>
      </c>
      <c r="AB11" s="173">
        <f>IF(AA11=$J$3,M11,"")</f>
        <v>100</v>
      </c>
      <c r="AC11" s="173">
        <f>IF(AB11="","",IF($I$8="A",(RANK(AB11,AB$11:AB$333)+COUNTIF(AB$11:AB11,AB11)-1),(RANK(AB11,AB$11:AB$333,1)+COUNTIF(AB$11:AB11,AB11)-1)))</f>
        <v>9</v>
      </c>
      <c r="AD11" s="173"/>
      <c r="AE11" s="45">
        <f>IF(I$8="A",(RANK(AG11,AG$11:AG$333,1)+COUNTIF(AG$11:AG11,AG11)-1),(RANK(AG11,AG$11:AG$333)+COUNTIF(AG$11:AG11,AG11)-1))</f>
        <v>317</v>
      </c>
      <c r="AF11" s="43" t="str">
        <f>'Filtered Data'!D3</f>
        <v>Cheshire East</v>
      </c>
      <c r="AG11" s="99">
        <f>VLOOKUP(Profile!$J$5,$C$11:$H$333,4,FALSE)</f>
        <v>90.909090909090907</v>
      </c>
      <c r="AH11" s="46">
        <f>AE11</f>
        <v>317</v>
      </c>
      <c r="AI11" s="5" t="str">
        <f>IF(L11="","",VLOOKUP($L11,classifications!$C:$J,8,FALSE))</f>
        <v>Unitary</v>
      </c>
      <c r="AJ11" s="42">
        <f t="shared" ref="AJ11:AJ12" si="5">IF(AI11=$I$3,M11,"")</f>
        <v>100</v>
      </c>
      <c r="AK11" s="39">
        <f>IF(AJ11="","",IF(I$8="A",(RANK(AJ11,AJ$11:AJ$333,1)+COUNTIF(AJ$11:AJ11,AJ11)-1),(RANK(AJ11,AJ$11:AJ$333)+COUNTIF(AJ$11:AJ11,AJ11)-1)))</f>
        <v>1</v>
      </c>
      <c r="AL11" s="39">
        <v>1</v>
      </c>
      <c r="AM11" t="str">
        <f t="shared" ref="AM11:AM74" si="6">IF(ISNA(IF(AL11="","",INDEX(L$11:L$333,MATCH(AL11,AK$11:AK$333,0)))),"",(IF(AL11="","",INDEX(L$11:L$333,MATCH(AL11,AK$11:AK$333,0)))))</f>
        <v>Bath &amp; North East Somerset</v>
      </c>
      <c r="AN11">
        <f t="shared" ref="AN11:AN74" si="7">(VLOOKUP(AM11,L:M,2,FALSE))</f>
        <v>100</v>
      </c>
      <c r="AP11" s="5" t="str">
        <f>IF(L11="","",VLOOKUP($L11,classifications!$C:$E,3,FALSE))</f>
        <v>South West</v>
      </c>
      <c r="AQ11" s="42" t="str">
        <f>IF(AP11=$G$3,$M11,"")</f>
        <v/>
      </c>
      <c r="AR11" s="39" t="str">
        <f>IF(AQ11="","",IF(I$8="A",(RANK(AQ11,AQ$11:AQ$333,1)+COUNTIF(AQ$11:AQ11,AQ11)-1),(RANK(AQ11,AQ$11:AQ$333)+COUNTIF(AQ$11:AQ11,AQ11)-1)))</f>
        <v/>
      </c>
      <c r="AS11" s="39">
        <v>1</v>
      </c>
      <c r="AT11" s="39" t="str">
        <f t="shared" ref="AT11:AT74" si="8">IF(AS11="","",INDEX(L$11:L$333,MATCH(AS11,AR$11:AR$333,0)))</f>
        <v>Blackburn with Darwen</v>
      </c>
      <c r="AU11" s="42">
        <f t="shared" ref="AU11:AU74" si="9">IF(AT11="","",VLOOKUP(AT11,L:M,2,FALSE))</f>
        <v>100</v>
      </c>
      <c r="AX11">
        <f>HLOOKUP($AX$9&amp;$AX$10,Data!$A$1:$ZT$1975,(MATCH($C11,Data!$A$1:$A$1975,0)),FALSE)</f>
        <v>0</v>
      </c>
    </row>
    <row r="12" spans="1:735">
      <c r="A12" s="55" t="str">
        <f>$D$1&amp;2</f>
        <v>UA2</v>
      </c>
      <c r="B12" s="56" t="str">
        <f>IF(ISERROR(VLOOKUP(A12,classifications!A:C,3,FALSE)),0,VLOOKUP(A12,classifications!A:C,3,FALSE))</f>
        <v>Cornwall</v>
      </c>
      <c r="C12" t="s">
        <v>899</v>
      </c>
      <c r="D12" t="str">
        <f>VLOOKUP($C12,classifications!$C:$J,4,FALSE)</f>
        <v>UA</v>
      </c>
      <c r="E12" t="str">
        <f>VLOOKUP(C12,classifications!C:K,9,FALSE)</f>
        <v>Sparse</v>
      </c>
      <c r="F12">
        <f t="shared" si="0"/>
        <v>88.235294117647058</v>
      </c>
      <c r="G12" s="15"/>
      <c r="H12" s="41">
        <f t="shared" si="1"/>
        <v>88.235294117647058</v>
      </c>
      <c r="I12" s="73">
        <f>IF(H12="","",IF($I$8="A",(RANK(H12,H$11:H$333,1)+COUNTIF(H$11:H12,H12)-1),(RANK(H12,H$11:H$333)+COUNTIF(H$11:H12,H12)-1)))</f>
        <v>41</v>
      </c>
      <c r="J12" s="40"/>
      <c r="K12" s="35">
        <f t="shared" ref="K12:K75" si="10">IF(K11="","",IF(K11+1&gt;(COUNT(H$11:H$333)),"",K11+1))</f>
        <v>2</v>
      </c>
      <c r="L12" t="str">
        <f t="shared" si="2"/>
        <v>Blackburn with Darwen</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f>IF(I$8="A",(RANK(AG12,AG$11:AG$333,1)+COUNTIF(AG$11:AG12,AG12)-1),(RANK(AG12,AG$11:AG$333)+COUNTIF(AG$11:AG12,AG12)-1))</f>
        <v>1</v>
      </c>
      <c r="AF12" t="str">
        <f>VLOOKUP(Profile!$J$5,Families!$C:$R,2,FALSE)</f>
        <v>Cheshire West &amp; Chester</v>
      </c>
      <c r="AG12" s="15">
        <f t="shared" ref="AG12:AG75" si="15">VLOOKUP(AF12,$C$11:$H$333,4,FALSE)</f>
        <v>100</v>
      </c>
      <c r="AH12" s="46">
        <f>AE12</f>
        <v>1</v>
      </c>
      <c r="AI12" s="5" t="str">
        <f>IF(L12="","",VLOOKUP($L12,classifications!$C:$J,8,FALSE))</f>
        <v>Unitary</v>
      </c>
      <c r="AJ12" s="42">
        <f t="shared" si="5"/>
        <v>100</v>
      </c>
      <c r="AK12" s="39">
        <f>IF(AJ12="","",IF(I$8="A",(RANK(AJ12,AJ$11:AJ$333,1)+COUNTIF(AJ$11:AJ12,AJ12)-1),(RANK(AJ12,AJ$11:AJ$333)+COUNTIF(AJ$11:AJ12,AJ12)-1)))</f>
        <v>2</v>
      </c>
      <c r="AL12" s="3">
        <f t="shared" ref="AL12:AL75" si="16">IF(AL11="","",IF(AL11+1&gt;(COUNT(AJ$11:AJ$333)),"",AL11+1))</f>
        <v>2</v>
      </c>
      <c r="AM12" t="str">
        <f t="shared" si="6"/>
        <v>Blackburn with Darwen</v>
      </c>
      <c r="AN12">
        <f t="shared" si="7"/>
        <v>100</v>
      </c>
      <c r="AP12" s="5" t="str">
        <f>IF(L12="","",VLOOKUP($L12,classifications!$C:$E,3,FALSE))</f>
        <v>North West</v>
      </c>
      <c r="AQ12" s="42">
        <f t="shared" ref="AQ12" si="17">IF(AP12=$G$3,$M12,"")</f>
        <v>100</v>
      </c>
      <c r="AR12" s="39">
        <f>IF(AQ12="","",IF(I$8="A",(RANK(AQ12,AQ$11:AQ$333,1)+COUNTIF(AQ$11:AQ12,AQ12)-1),(RANK(AQ12,AQ$11:AQ$333)+COUNTIF(AQ$11:AQ12,AQ12)-1)))</f>
        <v>1</v>
      </c>
      <c r="AS12" s="3">
        <f t="shared" ref="AS12:AS75" si="18">IF(AS11="","",IF(AS11+1&gt;(COUNT(AQ$11:AQ$333)),"",AS11+1))</f>
        <v>2</v>
      </c>
      <c r="AT12" s="39" t="str">
        <f t="shared" si="8"/>
        <v>Blackpool</v>
      </c>
      <c r="AU12" s="42">
        <f t="shared" si="9"/>
        <v>100</v>
      </c>
      <c r="AX12">
        <f>HLOOKUP($AX$9&amp;$AX$10,Data!$A$1:$ZT$1975,(MATCH($C12,Data!$A$1:$A$1975,0)),FALSE)</f>
        <v>88.235294117647058</v>
      </c>
    </row>
    <row r="13" spans="1:735">
      <c r="A13" s="55" t="str">
        <f>$D$1&amp;3</f>
        <v>UA3</v>
      </c>
      <c r="B13" s="56" t="str">
        <f>IF(ISERROR(VLOOKUP(A13,classifications!A:C,3,FALSE)),0,VLOOKUP(A13,classifications!A:C,3,FALSE))</f>
        <v>Cumberland</v>
      </c>
      <c r="C13" t="s">
        <v>7</v>
      </c>
      <c r="D13" t="str">
        <f>VLOOKUP($C13,classifications!$C:$J,4,FALSE)</f>
        <v>SD</v>
      </c>
      <c r="E13">
        <f>VLOOKUP(C13,classifications!C:K,9,FALSE)</f>
        <v>0</v>
      </c>
      <c r="F13">
        <f t="shared" si="0"/>
        <v>100</v>
      </c>
      <c r="G13" s="15"/>
      <c r="H13" s="41" t="str">
        <f t="shared" si="1"/>
        <v/>
      </c>
      <c r="I13" s="73" t="str">
        <f>IF(H13="","",IF($I$8="A",(RANK(H13,H$11:H$333,1)+COUNTIF(H$11:H13,H13)-1),(RANK(H13,H$11:H$333)+COUNTIF(H$11:H13,H13)-1)))</f>
        <v/>
      </c>
      <c r="J13" s="40"/>
      <c r="K13" s="35">
        <f t="shared" si="10"/>
        <v>3</v>
      </c>
      <c r="L13" t="str">
        <f t="shared" si="2"/>
        <v>Blackpool</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f>IF(I$8="A",(RANK(AG13,AG$11:AG$333,1)+COUNTIF(AG$11:AG13,AG13)-1),(RANK(AG13,AG$11:AG$333)+COUNTIF(AG$11:AG13,AG13)-1))</f>
        <v>2</v>
      </c>
      <c r="AF13" t="str">
        <f>VLOOKUP(Profile!$J$5,Families!$C:$R,2,FALSE)</f>
        <v>Cheshire West &amp; Chester</v>
      </c>
      <c r="AG13" s="15">
        <f t="shared" si="15"/>
        <v>100</v>
      </c>
      <c r="AH13" s="46">
        <f t="shared" ref="AH13:AH57" si="28">AE13</f>
        <v>2</v>
      </c>
      <c r="AI13" s="5" t="str">
        <f>IF(L13="","",VLOOKUP($L13,classifications!$C:$J,8,FALSE))</f>
        <v>Unitary</v>
      </c>
      <c r="AJ13" s="42">
        <f t="shared" ref="AJ13:AJ57" si="29">IF(AI13=$I$3,M13,"")</f>
        <v>100</v>
      </c>
      <c r="AK13" s="39">
        <f>IF(AJ13="","",IF(I$8="A",(RANK(AJ13,AJ$11:AJ$333,1)+COUNTIF(AJ$11:AJ13,AJ13)-1),(RANK(AJ13,AJ$11:AJ$333)+COUNTIF(AJ$11:AJ13,AJ13)-1)))</f>
        <v>3</v>
      </c>
      <c r="AL13" s="3">
        <f t="shared" si="16"/>
        <v>3</v>
      </c>
      <c r="AM13" t="str">
        <f t="shared" si="6"/>
        <v>Blackpool</v>
      </c>
      <c r="AN13">
        <f t="shared" si="7"/>
        <v>100</v>
      </c>
      <c r="AP13" s="5" t="str">
        <f>IF(L13="","",VLOOKUP($L13,classifications!$C:$E,3,FALSE))</f>
        <v>North West</v>
      </c>
      <c r="AQ13" s="42">
        <f t="shared" ref="AQ13:AQ57" si="30">IF(AP13=$G$3,$M13,"")</f>
        <v>100</v>
      </c>
      <c r="AR13" s="39">
        <f>IF(AQ13="","",IF(I$8="A",(RANK(AQ13,AQ$11:AQ$333,1)+COUNTIF(AQ$11:AQ13,AQ13)-1),(RANK(AQ13,AQ$11:AQ$333)+COUNTIF(AQ$11:AQ13,AQ13)-1)))</f>
        <v>2</v>
      </c>
      <c r="AS13" s="3">
        <f t="shared" si="18"/>
        <v>3</v>
      </c>
      <c r="AT13" s="39" t="str">
        <f t="shared" si="8"/>
        <v>Cheshire West &amp; Chester</v>
      </c>
      <c r="AU13" s="42">
        <f t="shared" si="9"/>
        <v>100</v>
      </c>
      <c r="AX13">
        <f>HLOOKUP($AX$9&amp;$AX$10,Data!$A$1:$ZT$1975,(MATCH($C13,Data!$A$1:$A$1975,0)),FALSE)</f>
        <v>100</v>
      </c>
    </row>
    <row r="14" spans="1:735">
      <c r="A14" s="55" t="str">
        <f>$D$1&amp;4</f>
        <v>UA4</v>
      </c>
      <c r="B14" s="56" t="str">
        <f>IF(ISERROR(VLOOKUP(A14,classifications!A:C,3,FALSE)),0,VLOOKUP(A14,classifications!A:C,3,FALSE))</f>
        <v>Durham</v>
      </c>
      <c r="C14" t="s">
        <v>8</v>
      </c>
      <c r="D14" t="str">
        <f>VLOOKUP($C14,classifications!$C:$J,4,FALSE)</f>
        <v>SD</v>
      </c>
      <c r="E14">
        <f>VLOOKUP(C14,classifications!C:K,9,FALSE)</f>
        <v>0</v>
      </c>
      <c r="F14">
        <f t="shared" si="0"/>
        <v>83.333333333333343</v>
      </c>
      <c r="G14" s="15"/>
      <c r="H14" s="41" t="str">
        <f t="shared" si="1"/>
        <v/>
      </c>
      <c r="I14" s="73" t="str">
        <f>IF(H14="","",IF($I$8="A",(RANK(H14,H$11:H$333,1)+COUNTIF(H$11:H14,H14)-1),(RANK(H14,H$11:H$333)+COUNTIF(H$11:H14,H14)-1)))</f>
        <v/>
      </c>
      <c r="J14" s="40"/>
      <c r="K14" s="35">
        <f t="shared" si="10"/>
        <v>4</v>
      </c>
      <c r="L14" t="str">
        <f t="shared" si="2"/>
        <v>Brighton &amp; Hove</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f>IF(I$8="A",(RANK(AG14,AG$11:AG$333,1)+COUNTIF(AG$11:AG14,AG14)-1),(RANK(AG14,AG$11:AG$333)+COUNTIF(AG$11:AG14,AG14)-1))</f>
        <v>3</v>
      </c>
      <c r="AF14" t="str">
        <f>VLOOKUP(Profile!$J$5,Families!$C:$R,2,FALSE)</f>
        <v>Cheshire West &amp; Chester</v>
      </c>
      <c r="AG14" s="15">
        <f t="shared" si="15"/>
        <v>100</v>
      </c>
      <c r="AH14" s="46">
        <f t="shared" si="28"/>
        <v>3</v>
      </c>
      <c r="AI14" s="5" t="str">
        <f>IF(L14="","",VLOOKUP($L14,classifications!$C:$J,8,FALSE))</f>
        <v>Unitary</v>
      </c>
      <c r="AJ14" s="42">
        <f t="shared" si="29"/>
        <v>100</v>
      </c>
      <c r="AK14" s="39">
        <f>IF(AJ14="","",IF(I$8="A",(RANK(AJ14,AJ$11:AJ$333,1)+COUNTIF(AJ$11:AJ14,AJ14)-1),(RANK(AJ14,AJ$11:AJ$333)+COUNTIF(AJ$11:AJ14,AJ14)-1)))</f>
        <v>4</v>
      </c>
      <c r="AL14" s="3">
        <f t="shared" si="16"/>
        <v>4</v>
      </c>
      <c r="AM14" t="str">
        <f t="shared" si="6"/>
        <v>Brighton &amp; Hove</v>
      </c>
      <c r="AN14">
        <f t="shared" si="7"/>
        <v>100</v>
      </c>
      <c r="AP14" s="5" t="str">
        <f>IF(L14="","",VLOOKUP($L14,classifications!$C:$E,3,FALSE))</f>
        <v>South East</v>
      </c>
      <c r="AQ14" s="42" t="str">
        <f t="shared" si="30"/>
        <v/>
      </c>
      <c r="AR14" s="39" t="str">
        <f>IF(AQ14="","",IF(I$8="A",(RANK(AQ14,AQ$11:AQ$333,1)+COUNTIF(AQ$11:AQ14,AQ14)-1),(RANK(AQ14,AQ$11:AQ$333)+COUNTIF(AQ$11:AQ14,AQ14)-1)))</f>
        <v/>
      </c>
      <c r="AS14" s="3">
        <f t="shared" si="18"/>
        <v>4</v>
      </c>
      <c r="AT14" s="39" t="str">
        <f t="shared" si="8"/>
        <v>Halton</v>
      </c>
      <c r="AU14" s="42">
        <f t="shared" si="9"/>
        <v>100</v>
      </c>
      <c r="AX14">
        <f>HLOOKUP($AX$9&amp;$AX$10,Data!$A$1:$ZT$1975,(MATCH($C14,Data!$A$1:$A$1975,0)),FALSE)</f>
        <v>83.333333333333343</v>
      </c>
    </row>
    <row r="15" spans="1:735">
      <c r="A15" s="55" t="str">
        <f>$D$1&amp;5</f>
        <v>UA5</v>
      </c>
      <c r="B15" s="56" t="str">
        <f>IF(ISERROR(VLOOKUP(A15,classifications!A:C,3,FALSE)),0,VLOOKUP(A15,classifications!A:C,3,FALSE))</f>
        <v>East Riding of Yorkshire</v>
      </c>
      <c r="C15" t="s">
        <v>9</v>
      </c>
      <c r="D15" t="str">
        <f>VLOOKUP($C15,classifications!$C:$J,4,FALSE)</f>
        <v>SD</v>
      </c>
      <c r="E15">
        <f>VLOOKUP(C15,classifications!C:K,9,FALSE)</f>
        <v>0</v>
      </c>
      <c r="F15">
        <f t="shared" si="0"/>
        <v>80</v>
      </c>
      <c r="G15" s="15"/>
      <c r="H15" s="41" t="str">
        <f t="shared" si="1"/>
        <v/>
      </c>
      <c r="I15" s="73" t="str">
        <f>IF(H15="","",IF($I$8="A",(RANK(H15,H$11:H$333,1)+COUNTIF(H$11:H15,H15)-1),(RANK(H15,H$11:H$333)+COUNTIF(H$11:H15,H15)-1)))</f>
        <v/>
      </c>
      <c r="J15" s="40"/>
      <c r="K15" s="35">
        <f t="shared" si="10"/>
        <v>5</v>
      </c>
      <c r="L15" t="str">
        <f t="shared" si="2"/>
        <v>Cheshire West &amp; Chester</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Urban with Significant Rural</v>
      </c>
      <c r="Y15">
        <f t="shared" si="26"/>
        <v>100</v>
      </c>
      <c r="Z15" s="39">
        <f>IF(Y15="","",IF(I$8="A",(RANK(Y15,Y$11:Y$333,1)+COUNTIF(Y$11:Y15,Y15)-1),(RANK(Y15,Y$11:Y$333)+COUNTIF(Y$11:Y15,Y15)-1)))</f>
        <v>2</v>
      </c>
      <c r="AA15" s="177" t="str">
        <f>IF(L15="","",VLOOKUP($L15,classifications!C:I,7,FALSE))</f>
        <v>Urban with Significant Rural</v>
      </c>
      <c r="AB15" s="173">
        <f t="shared" si="27"/>
        <v>100</v>
      </c>
      <c r="AC15" s="173">
        <f>IF(AB15="","",IF($I$8="A",(RANK(AB15,AB$11:AB$333)+COUNTIF(AB$11:AB15,AB15)-1),(RANK(AB15,AB$11:AB$333,1)+COUNTIF(AB$11:AB15,AB15)-1)))</f>
        <v>10</v>
      </c>
      <c r="AD15" s="173"/>
      <c r="AE15" s="45">
        <f>IF(I$8="A",(RANK(AG15,AG$11:AG$333,1)+COUNTIF(AG$11:AG15,AG15)-1),(RANK(AG15,AG$11:AG$333)+COUNTIF(AG$11:AG15,AG15)-1))</f>
        <v>4</v>
      </c>
      <c r="AF15" t="str">
        <f>VLOOKUP(Profile!$J$5,Families!$C:$R,2,FALSE)</f>
        <v>Cheshire West &amp; Chester</v>
      </c>
      <c r="AG15" s="15">
        <f t="shared" si="15"/>
        <v>100</v>
      </c>
      <c r="AH15" s="46">
        <f t="shared" si="28"/>
        <v>4</v>
      </c>
      <c r="AI15" s="5" t="str">
        <f>IF(L15="","",VLOOKUP($L15,classifications!$C:$J,8,FALSE))</f>
        <v>Unitary</v>
      </c>
      <c r="AJ15" s="42">
        <f t="shared" si="29"/>
        <v>100</v>
      </c>
      <c r="AK15" s="39">
        <f>IF(AJ15="","",IF(I$8="A",(RANK(AJ15,AJ$11:AJ$333,1)+COUNTIF(AJ$11:AJ15,AJ15)-1),(RANK(AJ15,AJ$11:AJ$333)+COUNTIF(AJ$11:AJ15,AJ15)-1)))</f>
        <v>5</v>
      </c>
      <c r="AL15" s="3">
        <f t="shared" si="16"/>
        <v>5</v>
      </c>
      <c r="AM15" t="str">
        <f t="shared" si="6"/>
        <v>Cheshire West &amp; Chester</v>
      </c>
      <c r="AN15">
        <f t="shared" si="7"/>
        <v>100</v>
      </c>
      <c r="AP15" s="5" t="str">
        <f>IF(L15="","",VLOOKUP($L15,classifications!$C:$E,3,FALSE))</f>
        <v>North West</v>
      </c>
      <c r="AQ15" s="42">
        <f t="shared" si="30"/>
        <v>100</v>
      </c>
      <c r="AR15" s="39">
        <f>IF(AQ15="","",IF(I$8="A",(RANK(AQ15,AQ$11:AQ$333,1)+COUNTIF(AQ$11:AQ15,AQ15)-1),(RANK(AQ15,AQ$11:AQ$333)+COUNTIF(AQ$11:AQ15,AQ15)-1)))</f>
        <v>3</v>
      </c>
      <c r="AS15" s="3">
        <f t="shared" si="18"/>
        <v>5</v>
      </c>
      <c r="AT15" s="39" t="str">
        <f t="shared" si="8"/>
        <v>Westmorland &amp; Furness</v>
      </c>
      <c r="AU15" s="42">
        <f t="shared" si="9"/>
        <v>90.909090909090907</v>
      </c>
      <c r="AX15">
        <f>HLOOKUP($AX$9&amp;$AX$10,Data!$A$1:$ZT$1975,(MATCH($C15,Data!$A$1:$A$1975,0)),FALSE)</f>
        <v>80</v>
      </c>
    </row>
    <row r="16" spans="1:735">
      <c r="A16" s="55" t="str">
        <f>$D$1&amp;6</f>
        <v>UA6</v>
      </c>
      <c r="B16" s="56" t="str">
        <f>IF(ISERROR(VLOOKUP(A16,classifications!A:C,3,FALSE)),0,VLOOKUP(A16,classifications!A:C,3,FALSE))</f>
        <v>Herefordshire</v>
      </c>
      <c r="C16" t="s">
        <v>10</v>
      </c>
      <c r="D16" t="str">
        <f>VLOOKUP($C16,classifications!$C:$J,4,FALSE)</f>
        <v>SD</v>
      </c>
      <c r="E16">
        <f>VLOOKUP(C16,classifications!C:K,9,FALSE)</f>
        <v>0</v>
      </c>
      <c r="F16">
        <f t="shared" si="0"/>
        <v>87.5</v>
      </c>
      <c r="G16" s="15"/>
      <c r="H16" s="41" t="str">
        <f t="shared" si="1"/>
        <v/>
      </c>
      <c r="I16" s="73" t="str">
        <f>IF(H16="","",IF($I$8="A",(RANK(H16,H$11:H$333,1)+COUNTIF(H$11:H16,H16)-1),(RANK(H16,H$11:H$333)+COUNTIF(H$11:H16,H16)-1)))</f>
        <v/>
      </c>
      <c r="J16" s="40"/>
      <c r="K16" s="35">
        <f t="shared" si="10"/>
        <v>6</v>
      </c>
      <c r="L16" t="str">
        <f t="shared" si="2"/>
        <v>Derby</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f>IF(I$8="A",(RANK(AG16,AG$11:AG$333,1)+COUNTIF(AG$11:AG16,AG16)-1),(RANK(AG16,AG$11:AG$333)+COUNTIF(AG$11:AG16,AG16)-1))</f>
        <v>5</v>
      </c>
      <c r="AF16" t="str">
        <f>VLOOKUP(Profile!$J$5,Families!$C:$R,2,FALSE)</f>
        <v>Cheshire West &amp; Chester</v>
      </c>
      <c r="AG16" s="15">
        <f t="shared" si="15"/>
        <v>100</v>
      </c>
      <c r="AH16" s="46">
        <f t="shared" si="28"/>
        <v>5</v>
      </c>
      <c r="AI16" s="5" t="str">
        <f>IF(L16="","",VLOOKUP($L16,classifications!$C:$J,8,FALSE))</f>
        <v>Unitary</v>
      </c>
      <c r="AJ16" s="42">
        <f t="shared" si="29"/>
        <v>100</v>
      </c>
      <c r="AK16" s="39">
        <f>IF(AJ16="","",IF(I$8="A",(RANK(AJ16,AJ$11:AJ$333,1)+COUNTIF(AJ$11:AJ16,AJ16)-1),(RANK(AJ16,AJ$11:AJ$333)+COUNTIF(AJ$11:AJ16,AJ16)-1)))</f>
        <v>6</v>
      </c>
      <c r="AL16" s="3">
        <f t="shared" si="16"/>
        <v>6</v>
      </c>
      <c r="AM16" t="str">
        <f t="shared" si="6"/>
        <v>Derby</v>
      </c>
      <c r="AN16">
        <f t="shared" si="7"/>
        <v>100</v>
      </c>
      <c r="AP16" s="5" t="str">
        <f>IF(L16="","",VLOOKUP($L16,classifications!$C:$E,3,FALSE))</f>
        <v>East Midlands</v>
      </c>
      <c r="AQ16" s="42" t="str">
        <f t="shared" si="30"/>
        <v/>
      </c>
      <c r="AR16" s="39" t="str">
        <f>IF(AQ16="","",IF(I$8="A",(RANK(AQ16,AQ$11:AQ$333,1)+COUNTIF(AQ$11:AQ16,AQ16)-1),(RANK(AQ16,AQ$11:AQ$333)+COUNTIF(AQ$11:AQ16,AQ16)-1)))</f>
        <v/>
      </c>
      <c r="AS16" s="3">
        <f t="shared" si="18"/>
        <v>6</v>
      </c>
      <c r="AT16" s="39" t="str">
        <f t="shared" si="8"/>
        <v>Cheshire East</v>
      </c>
      <c r="AU16" s="42">
        <f t="shared" si="9"/>
        <v>90.909090909090907</v>
      </c>
      <c r="AX16">
        <f>HLOOKUP($AX$9&amp;$AX$10,Data!$A$1:$ZT$1975,(MATCH($C16,Data!$A$1:$A$1975,0)),FALSE)</f>
        <v>87.5</v>
      </c>
    </row>
    <row r="17" spans="1:50">
      <c r="A17" s="55" t="str">
        <f>$D$1&amp;7</f>
        <v>UA7</v>
      </c>
      <c r="B17" s="56" t="str">
        <f>IF(ISERROR(VLOOKUP(A17,classifications!A:C,3,FALSE)),0,VLOOKUP(A17,classifications!A:C,3,FALSE))</f>
        <v>Isle Of Wight</v>
      </c>
      <c r="C17" t="s">
        <v>12</v>
      </c>
      <c r="D17" t="str">
        <f>VLOOKUP($C17,classifications!$C:$J,4,FALSE)</f>
        <v>SD</v>
      </c>
      <c r="E17" t="str">
        <f>VLOOKUP(C17,classifications!C:K,9,FALSE)</f>
        <v>Sparse</v>
      </c>
      <c r="F17">
        <f t="shared" si="0"/>
        <v>100</v>
      </c>
      <c r="G17" s="15"/>
      <c r="H17" s="41" t="str">
        <f t="shared" si="1"/>
        <v/>
      </c>
      <c r="I17" s="73" t="str">
        <f>IF(H17="","",IF($I$8="A",(RANK(H17,H$11:H$333,1)+COUNTIF(H$11:H17,H17)-1),(RANK(H17,H$11:H$333)+COUNTIF(H$11:H17,H17)-1)))</f>
        <v/>
      </c>
      <c r="J17" s="40"/>
      <c r="K17" s="35">
        <f t="shared" si="10"/>
        <v>7</v>
      </c>
      <c r="L17" t="str">
        <f t="shared" si="2"/>
        <v>Halton</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f>IF(I$8="A",(RANK(AG17,AG$11:AG$333,1)+COUNTIF(AG$11:AG17,AG17)-1),(RANK(AG17,AG$11:AG$333)+COUNTIF(AG$11:AG17,AG17)-1))</f>
        <v>6</v>
      </c>
      <c r="AF17" t="str">
        <f>VLOOKUP(Profile!$J$5,Families!$C:$R,2,FALSE)</f>
        <v>Cheshire West &amp; Chester</v>
      </c>
      <c r="AG17" s="15">
        <f t="shared" si="15"/>
        <v>100</v>
      </c>
      <c r="AH17" s="46">
        <f t="shared" si="28"/>
        <v>6</v>
      </c>
      <c r="AI17" s="5" t="str">
        <f>IF(L17="","",VLOOKUP($L17,classifications!$C:$J,8,FALSE))</f>
        <v>Unitary</v>
      </c>
      <c r="AJ17" s="42">
        <f t="shared" si="29"/>
        <v>100</v>
      </c>
      <c r="AK17" s="39">
        <f>IF(AJ17="","",IF(I$8="A",(RANK(AJ17,AJ$11:AJ$333,1)+COUNTIF(AJ$11:AJ17,AJ17)-1),(RANK(AJ17,AJ$11:AJ$333)+COUNTIF(AJ$11:AJ17,AJ17)-1)))</f>
        <v>7</v>
      </c>
      <c r="AL17" s="3">
        <f t="shared" si="16"/>
        <v>7</v>
      </c>
      <c r="AM17" t="str">
        <f t="shared" si="6"/>
        <v>Halton</v>
      </c>
      <c r="AN17">
        <f t="shared" si="7"/>
        <v>100</v>
      </c>
      <c r="AP17" s="5" t="str">
        <f>IF(L17="","",VLOOKUP($L17,classifications!$C:$E,3,FALSE))</f>
        <v>North West</v>
      </c>
      <c r="AQ17" s="42">
        <f t="shared" si="30"/>
        <v>100</v>
      </c>
      <c r="AR17" s="39">
        <f>IF(AQ17="","",IF(I$8="A",(RANK(AQ17,AQ$11:AQ$333,1)+COUNTIF(AQ$11:AQ17,AQ17)-1),(RANK(AQ17,AQ$11:AQ$333)+COUNTIF(AQ$11:AQ17,AQ17)-1)))</f>
        <v>4</v>
      </c>
      <c r="AS17" s="3">
        <f t="shared" si="18"/>
        <v>7</v>
      </c>
      <c r="AT17" s="39" t="str">
        <f t="shared" si="8"/>
        <v>Cumberland</v>
      </c>
      <c r="AU17" s="42">
        <f t="shared" si="9"/>
        <v>88.235294117647058</v>
      </c>
      <c r="AX17">
        <f>HLOOKUP($AX$9&amp;$AX$10,Data!$A$1:$ZT$1975,(MATCH($C17,Data!$A$1:$A$1975,0)),FALSE)</f>
        <v>100</v>
      </c>
    </row>
    <row r="18" spans="1:50">
      <c r="A18" s="55" t="str">
        <f>$D$1&amp;8</f>
        <v>UA8</v>
      </c>
      <c r="B18" s="56" t="str">
        <f>IF(ISERROR(VLOOKUP(A18,classifications!A:C,3,FALSE)),0,VLOOKUP(A18,classifications!A:C,3,FALSE))</f>
        <v>North Lincolnshire</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Hartlepool</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f>IF(I$8="A",(RANK(AG18,AG$11:AG$333,1)+COUNTIF(AG$11:AG18,AG18)-1),(RANK(AG18,AG$11:AG$333)+COUNTIF(AG$11:AG18,AG18)-1))</f>
        <v>7</v>
      </c>
      <c r="AF18" t="str">
        <f>VLOOKUP(Profile!$J$5,Families!$C:$R,2,FALSE)</f>
        <v>Cheshire West &amp; Chester</v>
      </c>
      <c r="AG18" s="15">
        <f t="shared" si="15"/>
        <v>100</v>
      </c>
      <c r="AH18" s="46">
        <f t="shared" si="28"/>
        <v>7</v>
      </c>
      <c r="AI18" s="5" t="str">
        <f>IF(L18="","",VLOOKUP($L18,classifications!$C:$J,8,FALSE))</f>
        <v>Unitary</v>
      </c>
      <c r="AJ18" s="42">
        <f t="shared" si="29"/>
        <v>100</v>
      </c>
      <c r="AK18" s="39">
        <f>IF(AJ18="","",IF(I$8="A",(RANK(AJ18,AJ$11:AJ$333,1)+COUNTIF(AJ$11:AJ18,AJ18)-1),(RANK(AJ18,AJ$11:AJ$333)+COUNTIF(AJ$11:AJ18,AJ18)-1)))</f>
        <v>8</v>
      </c>
      <c r="AL18" s="3">
        <f t="shared" si="16"/>
        <v>8</v>
      </c>
      <c r="AM18" t="str">
        <f t="shared" si="6"/>
        <v>Hartlepool</v>
      </c>
      <c r="AN18">
        <f t="shared" si="7"/>
        <v>100</v>
      </c>
      <c r="AP18" s="5" t="str">
        <f>IF(L18="","",VLOOKUP($L18,classifications!$C:$E,3,FALSE))</f>
        <v>NE</v>
      </c>
      <c r="AQ18" s="42" t="str">
        <f t="shared" si="30"/>
        <v/>
      </c>
      <c r="AR18" s="39" t="str">
        <f>IF(AQ18="","",IF(I$8="A",(RANK(AQ18,AQ$11:AQ$333,1)+COUNTIF(AQ$11:AQ18,AQ18)-1),(RANK(AQ18,AQ$11:AQ$333)+COUNTIF(AQ$11:AQ18,AQ18)-1)))</f>
        <v/>
      </c>
      <c r="AS18" s="3">
        <f t="shared" si="18"/>
        <v>8</v>
      </c>
      <c r="AT18" s="39" t="str">
        <f t="shared" si="8"/>
        <v>Warrington</v>
      </c>
      <c r="AU18" s="42">
        <f t="shared" si="9"/>
        <v>62.5</v>
      </c>
      <c r="AX18">
        <f>HLOOKUP($AX$9&amp;$AX$10,Data!$A$1:$ZT$1975,(MATCH($C18,Data!$A$1:$A$1975,0)),FALSE)</f>
        <v>100</v>
      </c>
    </row>
    <row r="19" spans="1:50">
      <c r="A19" s="55" t="str">
        <f>$D$1&amp;9</f>
        <v>UA9</v>
      </c>
      <c r="B19" s="56" t="str">
        <f>IF(ISERROR(VLOOKUP(A19,classifications!A:C,3,FALSE)),0,VLOOKUP(A19,classifications!A:C,3,FALSE))</f>
        <v>North Somerset</v>
      </c>
      <c r="C19" t="s">
        <v>196</v>
      </c>
      <c r="D19" t="str">
        <f>VLOOKUP($C19,classifications!$C:$J,4,FALSE)</f>
        <v>L</v>
      </c>
      <c r="E19">
        <f>VLOOKUP(C19,classifications!C:K,9,FALSE)</f>
        <v>0</v>
      </c>
      <c r="F19">
        <f t="shared" si="0"/>
        <v>100</v>
      </c>
      <c r="G19" s="15"/>
      <c r="H19" s="41" t="str">
        <f t="shared" si="1"/>
        <v/>
      </c>
      <c r="I19" s="73" t="str">
        <f>IF(H19="","",IF($I$8="A",(RANK(H19,H$11:H$333,1)+COUNTIF(H$11:H19,H19)-1),(RANK(H19,H$11:H$333)+COUNTIF(H$11:H19,H19)-1)))</f>
        <v/>
      </c>
      <c r="J19" s="40"/>
      <c r="K19" s="35">
        <f t="shared" si="10"/>
        <v>9</v>
      </c>
      <c r="L19" t="str">
        <f t="shared" si="2"/>
        <v>Kingston upon Hull</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f>IF(I$8="A",(RANK(AG19,AG$11:AG$333,1)+COUNTIF(AG$11:AG19,AG19)-1),(RANK(AG19,AG$11:AG$333)+COUNTIF(AG$11:AG19,AG19)-1))</f>
        <v>8</v>
      </c>
      <c r="AF19" t="str">
        <f>VLOOKUP(Profile!$J$5,Families!$C:$R,2,FALSE)</f>
        <v>Cheshire West &amp; Chester</v>
      </c>
      <c r="AG19" s="15">
        <f t="shared" si="15"/>
        <v>100</v>
      </c>
      <c r="AH19" s="46">
        <f t="shared" si="28"/>
        <v>8</v>
      </c>
      <c r="AI19" s="5" t="str">
        <f>IF(L19="","",VLOOKUP($L19,classifications!$C:$J,8,FALSE))</f>
        <v>Unitary</v>
      </c>
      <c r="AJ19" s="42">
        <f t="shared" si="29"/>
        <v>100</v>
      </c>
      <c r="AK19" s="39">
        <f>IF(AJ19="","",IF(I$8="A",(RANK(AJ19,AJ$11:AJ$333,1)+COUNTIF(AJ$11:AJ19,AJ19)-1),(RANK(AJ19,AJ$11:AJ$333)+COUNTIF(AJ$11:AJ19,AJ19)-1)))</f>
        <v>9</v>
      </c>
      <c r="AL19" s="3">
        <f t="shared" si="16"/>
        <v>9</v>
      </c>
      <c r="AM19" t="str">
        <f t="shared" si="6"/>
        <v>Kingston upon Hull</v>
      </c>
      <c r="AN19">
        <f t="shared" si="7"/>
        <v>100</v>
      </c>
      <c r="AP19" s="5" t="str">
        <f>IF(L19="","",VLOOKUP($L19,classifications!$C:$E,3,FALSE))</f>
        <v>Yorkshire &amp; Humberside</v>
      </c>
      <c r="AQ19" s="42" t="str">
        <f t="shared" si="30"/>
        <v/>
      </c>
      <c r="AR19" s="39" t="str">
        <f>IF(AQ19="","",IF(I$8="A",(RANK(AQ19,AQ$11:AQ$333,1)+COUNTIF(AQ$11:AQ19,AQ19)-1),(RANK(AQ19,AQ$11:AQ$333)+COUNTIF(AQ$11:AQ19,AQ19)-1)))</f>
        <v/>
      </c>
      <c r="AS19" s="3" t="str">
        <f t="shared" si="18"/>
        <v/>
      </c>
      <c r="AT19" s="39" t="str">
        <f t="shared" si="8"/>
        <v/>
      </c>
      <c r="AU19" s="42" t="str">
        <f t="shared" si="9"/>
        <v/>
      </c>
      <c r="AX19">
        <f>HLOOKUP($AX$9&amp;$AX$10,Data!$A$1:$ZT$1975,(MATCH($C19,Data!$A$1:$A$1975,0)),FALSE)</f>
        <v>100</v>
      </c>
    </row>
    <row r="20" spans="1:50">
      <c r="A20" s="55" t="str">
        <f>$D$1&amp;10</f>
        <v>UA10</v>
      </c>
      <c r="B20" s="56" t="str">
        <f>IF(ISERROR(VLOOKUP(A20,classifications!A:C,3,FALSE)),0,VLOOKUP(A20,classifications!A:C,3,FALSE))</f>
        <v>North Yorkshire</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Leicester</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f>IF(I$8="A",(RANK(AG20,AG$11:AG$333,1)+COUNTIF(AG$11:AG20,AG20)-1),(RANK(AG20,AG$11:AG$333)+COUNTIF(AG$11:AG20,AG20)-1))</f>
        <v>9</v>
      </c>
      <c r="AF20" t="str">
        <f>VLOOKUP(Profile!$J$5,Families!$C:$R,2,FALSE)</f>
        <v>Cheshire West &amp; Chester</v>
      </c>
      <c r="AG20" s="15">
        <f t="shared" si="15"/>
        <v>100</v>
      </c>
      <c r="AH20" s="46">
        <f t="shared" si="28"/>
        <v>9</v>
      </c>
      <c r="AI20" s="5" t="str">
        <f>IF(L20="","",VLOOKUP($L20,classifications!$C:$J,8,FALSE))</f>
        <v>Unitary</v>
      </c>
      <c r="AJ20" s="42">
        <f t="shared" si="29"/>
        <v>100</v>
      </c>
      <c r="AK20" s="39">
        <f>IF(AJ20="","",IF(I$8="A",(RANK(AJ20,AJ$11:AJ$333,1)+COUNTIF(AJ$11:AJ20,AJ20)-1),(RANK(AJ20,AJ$11:AJ$333)+COUNTIF(AJ$11:AJ20,AJ20)-1)))</f>
        <v>10</v>
      </c>
      <c r="AL20" s="3">
        <f t="shared" si="16"/>
        <v>10</v>
      </c>
      <c r="AM20" t="str">
        <f t="shared" si="6"/>
        <v>Leicester</v>
      </c>
      <c r="AN20">
        <f t="shared" si="7"/>
        <v>100</v>
      </c>
      <c r="AP20" s="5" t="str">
        <f>IF(L20="","",VLOOKUP($L20,classifications!$C:$E,3,FALSE))</f>
        <v>East Midlands</v>
      </c>
      <c r="AQ20" s="42" t="str">
        <f t="shared" si="30"/>
        <v/>
      </c>
      <c r="AR20" s="39" t="str">
        <f>IF(AQ20="","",IF(I$8="A",(RANK(AQ20,AQ$11:AQ$333,1)+COUNTIF(AQ$11:AQ20,AQ20)-1),(RANK(AQ20,AQ$11:AQ$333)+COUNTIF(AQ$11:AQ20,AQ20)-1)))</f>
        <v/>
      </c>
      <c r="AS20" s="3" t="str">
        <f t="shared" si="18"/>
        <v/>
      </c>
      <c r="AT20" s="39" t="str">
        <f t="shared" si="8"/>
        <v/>
      </c>
      <c r="AU20" s="42" t="str">
        <f t="shared" si="9"/>
        <v/>
      </c>
      <c r="AX20">
        <f>HLOOKUP($AX$9&amp;$AX$10,Data!$A$1:$ZT$1975,(MATCH($C20,Data!$A$1:$A$1975,0)),FALSE)</f>
        <v>100</v>
      </c>
    </row>
    <row r="21" spans="1:50">
      <c r="A21" s="55" t="str">
        <f>$D$1&amp;11</f>
        <v>UA11</v>
      </c>
      <c r="B21" s="56" t="str">
        <f>IF(ISERROR(VLOOKUP(A21,classifications!A:C,3,FALSE)),0,VLOOKUP(A21,classifications!A:C,3,FALSE))</f>
        <v>Northumberland</v>
      </c>
      <c r="C21" t="s">
        <v>900</v>
      </c>
      <c r="D21" t="str">
        <f>VLOOKUP($C21,classifications!$C:$J,4,FALSE)</f>
        <v>UA</v>
      </c>
      <c r="E21" t="str">
        <f>VLOOKUP(C21,classifications!C:K,9,FALSE)</f>
        <v>Sparse</v>
      </c>
      <c r="F21">
        <f t="shared" si="0"/>
        <v>90.909090909090907</v>
      </c>
      <c r="G21" s="15"/>
      <c r="H21" s="41">
        <f t="shared" si="1"/>
        <v>90.909090909090907</v>
      </c>
      <c r="I21" s="73">
        <f>IF(H21="","",IF($I$8="A",(RANK(H21,H$11:H$333,1)+COUNTIF(H$11:H21,H21)-1),(RANK(H21,H$11:H$333)+COUNTIF(H$11:H21,H21)-1)))</f>
        <v>32</v>
      </c>
      <c r="J21" s="40"/>
      <c r="K21" s="35">
        <f t="shared" si="10"/>
        <v>11</v>
      </c>
      <c r="L21" t="str">
        <f t="shared" si="2"/>
        <v>Medway</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f>IF(I$8="A",(RANK(AG21,AG$11:AG$333,1)+COUNTIF(AG$11:AG21,AG21)-1),(RANK(AG21,AG$11:AG$333)+COUNTIF(AG$11:AG21,AG21)-1))</f>
        <v>10</v>
      </c>
      <c r="AF21" t="str">
        <f>VLOOKUP(Profile!$J$5,Families!$C:$R,2,FALSE)</f>
        <v>Cheshire West &amp; Chester</v>
      </c>
      <c r="AG21" s="15">
        <f t="shared" si="15"/>
        <v>100</v>
      </c>
      <c r="AH21" s="46">
        <f t="shared" si="28"/>
        <v>10</v>
      </c>
      <c r="AI21" s="5" t="str">
        <f>IF(L21="","",VLOOKUP($L21,classifications!$C:$J,8,FALSE))</f>
        <v>Unitary</v>
      </c>
      <c r="AJ21" s="42">
        <f t="shared" si="29"/>
        <v>100</v>
      </c>
      <c r="AK21" s="39">
        <f>IF(AJ21="","",IF(I$8="A",(RANK(AJ21,AJ$11:AJ$333,1)+COUNTIF(AJ$11:AJ21,AJ21)-1),(RANK(AJ21,AJ$11:AJ$333)+COUNTIF(AJ$11:AJ21,AJ21)-1)))</f>
        <v>11</v>
      </c>
      <c r="AL21" s="3">
        <f t="shared" si="16"/>
        <v>11</v>
      </c>
      <c r="AM21" t="str">
        <f t="shared" si="6"/>
        <v>Medway</v>
      </c>
      <c r="AN21">
        <f t="shared" si="7"/>
        <v>100</v>
      </c>
      <c r="AP21" s="5" t="str">
        <f>IF(L21="","",VLOOKUP($L21,classifications!$C:$E,3,FALSE))</f>
        <v>South East</v>
      </c>
      <c r="AQ21" s="42" t="str">
        <f t="shared" si="30"/>
        <v/>
      </c>
      <c r="AR21" s="39" t="str">
        <f>IF(AQ21="","",IF(I$8="A",(RANK(AQ21,AQ$11:AQ$333,1)+COUNTIF(AQ$11:AQ21,AQ21)-1),(RANK(AQ21,AQ$11:AQ$333)+COUNTIF(AQ$11:AQ21,AQ21)-1)))</f>
        <v/>
      </c>
      <c r="AS21" s="3" t="str">
        <f t="shared" si="18"/>
        <v/>
      </c>
      <c r="AT21" s="39" t="str">
        <f t="shared" si="8"/>
        <v/>
      </c>
      <c r="AU21" s="42" t="str">
        <f t="shared" si="9"/>
        <v/>
      </c>
      <c r="AX21">
        <f>HLOOKUP($AX$9&amp;$AX$10,Data!$A$1:$ZT$1975,(MATCH($C21,Data!$A$1:$A$1975,0)),FALSE)</f>
        <v>90.909090909090907</v>
      </c>
    </row>
    <row r="22" spans="1:50">
      <c r="A22" s="55" t="str">
        <f>$D$1&amp;12</f>
        <v>UA12</v>
      </c>
      <c r="B22" s="56" t="str">
        <f>IF(ISERROR(VLOOKUP(A22,classifications!A:C,3,FALSE)),0,VLOOKUP(A22,classifications!A:C,3,FALSE))</f>
        <v>Rutland</v>
      </c>
      <c r="C22" t="s">
        <v>14</v>
      </c>
      <c r="D22" t="str">
        <f>VLOOKUP($C22,classifications!$C:$J,4,FALSE)</f>
        <v>SD</v>
      </c>
      <c r="E22">
        <f>VLOOKUP(C22,classifications!C:K,9,FALSE)</f>
        <v>0</v>
      </c>
      <c r="F22">
        <f t="shared" si="0"/>
        <v>100</v>
      </c>
      <c r="G22" s="15"/>
      <c r="H22" s="41" t="str">
        <f t="shared" si="1"/>
        <v/>
      </c>
      <c r="I22" s="73" t="str">
        <f>IF(H22="","",IF($I$8="A",(RANK(H22,H$11:H$333,1)+COUNTIF(H$11:H22,H22)-1),(RANK(H22,H$11:H$333)+COUNTIF(H$11:H22,H22)-1)))</f>
        <v/>
      </c>
      <c r="J22" s="40"/>
      <c r="K22" s="35">
        <f t="shared" si="10"/>
        <v>12</v>
      </c>
      <c r="L22" t="str">
        <f t="shared" si="2"/>
        <v>Milton Keynes</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f>IF(I$8="A",(RANK(AG22,AG$11:AG$333,1)+COUNTIF(AG$11:AG22,AG22)-1),(RANK(AG22,AG$11:AG$333)+COUNTIF(AG$11:AG22,AG22)-1))</f>
        <v>11</v>
      </c>
      <c r="AF22" t="str">
        <f>VLOOKUP(Profile!$J$5,Families!$C:$R,2,FALSE)</f>
        <v>Cheshire West &amp; Chester</v>
      </c>
      <c r="AG22" s="15">
        <f t="shared" si="15"/>
        <v>100</v>
      </c>
      <c r="AH22" s="46">
        <f t="shared" si="28"/>
        <v>11</v>
      </c>
      <c r="AI22" s="5" t="str">
        <f>IF(L22="","",VLOOKUP($L22,classifications!$C:$J,8,FALSE))</f>
        <v>Unitary</v>
      </c>
      <c r="AJ22" s="42">
        <f t="shared" si="29"/>
        <v>100</v>
      </c>
      <c r="AK22" s="39">
        <f>IF(AJ22="","",IF(I$8="A",(RANK(AJ22,AJ$11:AJ$333,1)+COUNTIF(AJ$11:AJ22,AJ22)-1),(RANK(AJ22,AJ$11:AJ$333)+COUNTIF(AJ$11:AJ22,AJ22)-1)))</f>
        <v>12</v>
      </c>
      <c r="AL22" s="3">
        <f t="shared" si="16"/>
        <v>12</v>
      </c>
      <c r="AM22" t="str">
        <f t="shared" si="6"/>
        <v>Milton Keynes</v>
      </c>
      <c r="AN22">
        <f t="shared" si="7"/>
        <v>100</v>
      </c>
      <c r="AP22" s="5" t="str">
        <f>IF(L22="","",VLOOKUP($L22,classifications!$C:$E,3,FALSE))</f>
        <v>South East</v>
      </c>
      <c r="AQ22" s="42" t="str">
        <f t="shared" si="30"/>
        <v/>
      </c>
      <c r="AR22" s="39" t="str">
        <f>IF(AQ22="","",IF(I$8="A",(RANK(AQ22,AQ$11:AQ$333,1)+COUNTIF(AQ$11:AQ22,AQ22)-1),(RANK(AQ22,AQ$11:AQ$333)+COUNTIF(AQ$11:AQ22,AQ22)-1)))</f>
        <v/>
      </c>
      <c r="AS22" s="3" t="str">
        <f t="shared" si="18"/>
        <v/>
      </c>
      <c r="AT22" s="39" t="str">
        <f t="shared" si="8"/>
        <v/>
      </c>
      <c r="AU22" s="42" t="str">
        <f t="shared" si="9"/>
        <v/>
      </c>
      <c r="AX22">
        <f>HLOOKUP($AX$9&amp;$AX$10,Data!$A$1:$ZT$1975,(MATCH($C22,Data!$A$1:$A$1975,0)),FALSE)</f>
        <v>100</v>
      </c>
    </row>
    <row r="23" spans="1:50">
      <c r="A23" s="55" t="str">
        <f>$D$1&amp;13</f>
        <v>UA13</v>
      </c>
      <c r="B23" s="56" t="str">
        <f>IF(ISERROR(VLOOKUP(A23,classifications!A:C,3,FALSE)),0,VLOOKUP(A23,classifications!A:C,3,FALSE))</f>
        <v>Shropshire</v>
      </c>
      <c r="C23" t="s">
        <v>342</v>
      </c>
      <c r="D23" t="str">
        <f>VLOOKUP($C23,classifications!$C:$J,4,FALSE)</f>
        <v>SD</v>
      </c>
      <c r="E23">
        <f>VLOOKUP(C23,classifications!C:K,9,FALSE)</f>
        <v>0</v>
      </c>
      <c r="F23">
        <f t="shared" si="0"/>
        <v>100</v>
      </c>
      <c r="G23" s="15"/>
      <c r="H23" s="41" t="str">
        <f t="shared" si="1"/>
        <v/>
      </c>
      <c r="I23" s="73" t="str">
        <f>IF(H23="","",IF($I$8="A",(RANK(H23,H$11:H$333,1)+COUNTIF(H$11:H23,H23)-1),(RANK(H23,H$11:H$333)+COUNTIF(H$11:H23,H23)-1)))</f>
        <v/>
      </c>
      <c r="J23" s="40"/>
      <c r="K23" s="35">
        <f t="shared" si="10"/>
        <v>13</v>
      </c>
      <c r="L23" t="str">
        <f t="shared" si="2"/>
        <v>North East Lincolnshire</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f>IF(I$8="A",(RANK(AG23,AG$11:AG$333,1)+COUNTIF(AG$11:AG23,AG23)-1),(RANK(AG23,AG$11:AG$333)+COUNTIF(AG$11:AG23,AG23)-1))</f>
        <v>12</v>
      </c>
      <c r="AF23" t="str">
        <f>VLOOKUP(Profile!$J$5,Families!$C:$R,2,FALSE)</f>
        <v>Cheshire West &amp; Chester</v>
      </c>
      <c r="AG23" s="15">
        <f t="shared" si="15"/>
        <v>100</v>
      </c>
      <c r="AH23" s="46">
        <f t="shared" si="28"/>
        <v>12</v>
      </c>
      <c r="AI23" s="5" t="str">
        <f>IF(L23="","",VLOOKUP($L23,classifications!$C:$J,8,FALSE))</f>
        <v>Unitary</v>
      </c>
      <c r="AJ23" s="42">
        <f t="shared" si="29"/>
        <v>100</v>
      </c>
      <c r="AK23" s="39">
        <f>IF(AJ23="","",IF(I$8="A",(RANK(AJ23,AJ$11:AJ$333,1)+COUNTIF(AJ$11:AJ23,AJ23)-1),(RANK(AJ23,AJ$11:AJ$333)+COUNTIF(AJ$11:AJ23,AJ23)-1)))</f>
        <v>13</v>
      </c>
      <c r="AL23" s="3">
        <f t="shared" si="16"/>
        <v>13</v>
      </c>
      <c r="AM23" t="str">
        <f t="shared" si="6"/>
        <v>North East Lincolnshire</v>
      </c>
      <c r="AN23">
        <f t="shared" si="7"/>
        <v>100</v>
      </c>
      <c r="AP23" s="5" t="str">
        <f>IF(L23="","",VLOOKUP($L23,classifications!$C:$E,3,FALSE))</f>
        <v>Yorkshire &amp; Humberside</v>
      </c>
      <c r="AQ23" s="42" t="str">
        <f t="shared" si="30"/>
        <v/>
      </c>
      <c r="AR23" s="39" t="str">
        <f>IF(AQ23="","",IF(I$8="A",(RANK(AQ23,AQ$11:AQ$333,1)+COUNTIF(AQ$11:AQ23,AQ23)-1),(RANK(AQ23,AQ$11:AQ$333)+COUNTIF(AQ$11:AQ23,AQ23)-1)))</f>
        <v/>
      </c>
      <c r="AS23" s="3" t="str">
        <f t="shared" si="18"/>
        <v/>
      </c>
      <c r="AT23" s="39" t="str">
        <f t="shared" si="8"/>
        <v/>
      </c>
      <c r="AU23" s="42" t="str">
        <f t="shared" si="9"/>
        <v/>
      </c>
      <c r="AX23">
        <f>HLOOKUP($AX$9&amp;$AX$10,Data!$A$1:$ZT$1975,(MATCH($C23,Data!$A$1:$A$1975,0)),FALSE)</f>
        <v>100</v>
      </c>
    </row>
    <row r="24" spans="1:50">
      <c r="A24" s="55" t="str">
        <f>$D$1&amp;14</f>
        <v>UA14</v>
      </c>
      <c r="B24" s="56" t="str">
        <f>IF(ISERROR(VLOOKUP(A24,classifications!A:C,3,FALSE)),0,VLOOKUP(A24,classifications!A:C,3,FALSE))</f>
        <v>West Northamptonshire</v>
      </c>
      <c r="C24" t="s">
        <v>15</v>
      </c>
      <c r="D24" t="str">
        <f>VLOOKUP($C24,classifications!$C:$J,4,FALSE)</f>
        <v>SD</v>
      </c>
      <c r="E24">
        <f>VLOOKUP(C24,classifications!C:K,9,FALSE)</f>
        <v>0</v>
      </c>
      <c r="F24">
        <f t="shared" si="0"/>
        <v>85.714285714285708</v>
      </c>
      <c r="G24" s="15"/>
      <c r="H24" s="41" t="str">
        <f t="shared" si="1"/>
        <v/>
      </c>
      <c r="I24" s="73" t="str">
        <f>IF(H24="","",IF($I$8="A",(RANK(H24,H$11:H$333,1)+COUNTIF(H$11:H24,H24)-1),(RANK(H24,H$11:H$333)+COUNTIF(H$11:H24,H24)-1)))</f>
        <v/>
      </c>
      <c r="J24" s="40"/>
      <c r="K24" s="35">
        <f t="shared" si="10"/>
        <v>14</v>
      </c>
      <c r="L24" t="str">
        <f t="shared" si="2"/>
        <v>Plymouth</v>
      </c>
      <c r="M24" s="109">
        <f t="shared" si="3"/>
        <v>100</v>
      </c>
      <c r="N24" s="104">
        <f t="shared" si="19"/>
        <v>100</v>
      </c>
      <c r="O24" s="89">
        <f t="shared" si="20"/>
        <v>100</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f>IF(I$8="A",(RANK(AG24,AG$11:AG$333,1)+COUNTIF(AG$11:AG24,AG24)-1),(RANK(AG24,AG$11:AG$333)+COUNTIF(AG$11:AG24,AG24)-1))</f>
        <v>13</v>
      </c>
      <c r="AF24" t="str">
        <f>VLOOKUP(Profile!$J$5,Families!$C:$R,2,FALSE)</f>
        <v>Cheshire West &amp; Chester</v>
      </c>
      <c r="AG24" s="15">
        <f t="shared" si="15"/>
        <v>100</v>
      </c>
      <c r="AH24" s="46">
        <f t="shared" si="28"/>
        <v>13</v>
      </c>
      <c r="AI24" s="5" t="str">
        <f>IF(L24="","",VLOOKUP($L24,classifications!$C:$J,8,FALSE))</f>
        <v>Unitary</v>
      </c>
      <c r="AJ24" s="42">
        <f t="shared" si="29"/>
        <v>100</v>
      </c>
      <c r="AK24" s="39">
        <f>IF(AJ24="","",IF(I$8="A",(RANK(AJ24,AJ$11:AJ$333,1)+COUNTIF(AJ$11:AJ24,AJ24)-1),(RANK(AJ24,AJ$11:AJ$333)+COUNTIF(AJ$11:AJ24,AJ24)-1)))</f>
        <v>14</v>
      </c>
      <c r="AL24" s="3">
        <f t="shared" si="16"/>
        <v>14</v>
      </c>
      <c r="AM24" t="str">
        <f t="shared" si="6"/>
        <v>Plymouth</v>
      </c>
      <c r="AN24">
        <f t="shared" si="7"/>
        <v>100</v>
      </c>
      <c r="AP24" s="5" t="str">
        <f>IF(L24="","",VLOOKUP($L24,classifications!$C:$E,3,FALSE))</f>
        <v>South West</v>
      </c>
      <c r="AQ24" s="42" t="str">
        <f t="shared" si="30"/>
        <v/>
      </c>
      <c r="AR24" s="39" t="str">
        <f>IF(AQ24="","",IF(I$8="A",(RANK(AQ24,AQ$11:AQ$333,1)+COUNTIF(AQ$11:AQ24,AQ24)-1),(RANK(AQ24,AQ$11:AQ$333)+COUNTIF(AQ$11:AQ24,AQ24)-1)))</f>
        <v/>
      </c>
      <c r="AS24" s="3" t="str">
        <f t="shared" si="18"/>
        <v/>
      </c>
      <c r="AT24" s="39" t="str">
        <f t="shared" si="8"/>
        <v/>
      </c>
      <c r="AU24" s="42" t="str">
        <f t="shared" si="9"/>
        <v/>
      </c>
      <c r="AX24">
        <f>HLOOKUP($AX$9&amp;$AX$10,Data!$A$1:$ZT$1975,(MATCH($C24,Data!$A$1:$A$1975,0)),FALSE)</f>
        <v>85.714285714285708</v>
      </c>
    </row>
    <row r="25" spans="1:50">
      <c r="A25" s="55" t="str">
        <f>$D$1&amp;15</f>
        <v>UA15</v>
      </c>
      <c r="B25" s="56" t="str">
        <f>IF(ISERROR(VLOOKUP(A25,classifications!A:C,3,FALSE)),0,VLOOKUP(A25,classifications!A:C,3,FALSE))</f>
        <v>Westmorland &amp; Furness</v>
      </c>
      <c r="C25" t="s">
        <v>258</v>
      </c>
      <c r="D25" t="str">
        <f>VLOOKUP($C25,classifications!$C:$J,4,FALSE)</f>
        <v>UA</v>
      </c>
      <c r="E25">
        <f>VLOOKUP(C25,classifications!C:K,9,FALSE)</f>
        <v>0</v>
      </c>
      <c r="F25">
        <f t="shared" si="0"/>
        <v>100</v>
      </c>
      <c r="G25" s="15"/>
      <c r="H25" s="41">
        <f t="shared" si="1"/>
        <v>100</v>
      </c>
      <c r="I25" s="73">
        <f>IF(H25="","",IF($I$8="A",(RANK(H25,H$11:H$333,1)+COUNTIF(H$11:H25,H25)-1),(RANK(H25,H$11:H$333)+COUNTIF(H$11:H25,H25)-1)))</f>
        <v>1</v>
      </c>
      <c r="J25" s="40"/>
      <c r="K25" s="35">
        <f t="shared" si="10"/>
        <v>15</v>
      </c>
      <c r="L25" t="str">
        <f t="shared" si="2"/>
        <v>Portsmouth</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f>IF(I$8="A",(RANK(AG25,AG$11:AG$333,1)+COUNTIF(AG$11:AG25,AG25)-1),(RANK(AG25,AG$11:AG$333)+COUNTIF(AG$11:AG25,AG25)-1))</f>
        <v>14</v>
      </c>
      <c r="AF25" t="str">
        <f>VLOOKUP(Profile!$J$5,Families!$C:$R,2,FALSE)</f>
        <v>Cheshire West &amp; Chester</v>
      </c>
      <c r="AG25" s="15">
        <f t="shared" si="15"/>
        <v>100</v>
      </c>
      <c r="AH25" s="46">
        <f t="shared" si="28"/>
        <v>14</v>
      </c>
      <c r="AI25" s="5" t="str">
        <f>IF(L25="","",VLOOKUP($L25,classifications!$C:$J,8,FALSE))</f>
        <v>Unitary</v>
      </c>
      <c r="AJ25" s="42">
        <f t="shared" si="29"/>
        <v>100</v>
      </c>
      <c r="AK25" s="39">
        <f>IF(AJ25="","",IF(I$8="A",(RANK(AJ25,AJ$11:AJ$333,1)+COUNTIF(AJ$11:AJ25,AJ25)-1),(RANK(AJ25,AJ$11:AJ$333)+COUNTIF(AJ$11:AJ25,AJ25)-1)))</f>
        <v>15</v>
      </c>
      <c r="AL25" s="3">
        <f t="shared" si="16"/>
        <v>15</v>
      </c>
      <c r="AM25" t="str">
        <f t="shared" si="6"/>
        <v>Portsmouth</v>
      </c>
      <c r="AN25">
        <f t="shared" si="7"/>
        <v>100</v>
      </c>
      <c r="AP25" s="5" t="str">
        <f>IF(L25="","",VLOOKUP($L25,classifications!$C:$E,3,FALSE))</f>
        <v>South East</v>
      </c>
      <c r="AQ25" s="42" t="str">
        <f t="shared" si="30"/>
        <v/>
      </c>
      <c r="AR25" s="39" t="str">
        <f>IF(AQ25="","",IF(I$8="A",(RANK(AQ25,AQ$11:AQ$333,1)+COUNTIF(AQ$11:AQ25,AQ25)-1),(RANK(AQ25,AQ$11:AQ$333)+COUNTIF(AQ$11:AQ25,AQ25)-1)))</f>
        <v/>
      </c>
      <c r="AS25" s="3" t="str">
        <f t="shared" si="18"/>
        <v/>
      </c>
      <c r="AT25" s="39" t="str">
        <f t="shared" si="8"/>
        <v/>
      </c>
      <c r="AU25" s="42" t="str">
        <f t="shared" si="9"/>
        <v/>
      </c>
      <c r="AX25">
        <f>HLOOKUP($AX$9&amp;$AX$10,Data!$A$1:$ZT$1975,(MATCH($C25,Data!$A$1:$A$1975,0)),FALSE)</f>
        <v>100</v>
      </c>
    </row>
    <row r="26" spans="1:50">
      <c r="A26" s="55" t="str">
        <f>$D$1&amp;16</f>
        <v>UA16</v>
      </c>
      <c r="B26" s="56">
        <f>IF(ISERROR(VLOOKUP(A26,classifications!A:C,3,FALSE)),0,VLOOKUP(A26,classifications!A:C,3,FALSE))</f>
        <v>0</v>
      </c>
      <c r="C26" t="s">
        <v>259</v>
      </c>
      <c r="D26" t="str">
        <f>VLOOKUP($C26,classifications!$C:$J,4,FALSE)</f>
        <v>UA</v>
      </c>
      <c r="E26">
        <f>VLOOKUP(C26,classifications!C:K,9,FALSE)</f>
        <v>0</v>
      </c>
      <c r="F26">
        <f t="shared" si="0"/>
        <v>90</v>
      </c>
      <c r="G26" s="15"/>
      <c r="H26" s="41">
        <f t="shared" si="1"/>
        <v>90</v>
      </c>
      <c r="I26" s="73">
        <f>IF(H26="","",IF($I$8="A",(RANK(H26,H$11:H$333,1)+COUNTIF(H$11:H26,H26)-1),(RANK(H26,H$11:H$333)+COUNTIF(H$11:H26,H26)-1)))</f>
        <v>35</v>
      </c>
      <c r="J26" s="40"/>
      <c r="K26" s="35">
        <f t="shared" si="10"/>
        <v>16</v>
      </c>
      <c r="L26" t="str">
        <f t="shared" si="2"/>
        <v>Reading</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f>IF(I$8="A",(RANK(AG26,AG$11:AG$333,1)+COUNTIF(AG$11:AG26,AG26)-1),(RANK(AG26,AG$11:AG$333)+COUNTIF(AG$11:AG26,AG26)-1))</f>
        <v>15</v>
      </c>
      <c r="AF26" t="str">
        <f>VLOOKUP(Profile!$J$5,Families!$C:$R,2,FALSE)</f>
        <v>Cheshire West &amp; Chester</v>
      </c>
      <c r="AG26" s="15">
        <f t="shared" si="15"/>
        <v>100</v>
      </c>
      <c r="AH26" s="46">
        <f t="shared" si="28"/>
        <v>15</v>
      </c>
      <c r="AI26" s="5" t="str">
        <f>IF(L26="","",VLOOKUP($L26,classifications!$C:$J,8,FALSE))</f>
        <v>Unitary</v>
      </c>
      <c r="AJ26" s="42">
        <f t="shared" si="29"/>
        <v>100</v>
      </c>
      <c r="AK26" s="39">
        <f>IF(AJ26="","",IF(I$8="A",(RANK(AJ26,AJ$11:AJ$333,1)+COUNTIF(AJ$11:AJ26,AJ26)-1),(RANK(AJ26,AJ$11:AJ$333)+COUNTIF(AJ$11:AJ26,AJ26)-1)))</f>
        <v>16</v>
      </c>
      <c r="AL26" s="3">
        <f t="shared" si="16"/>
        <v>16</v>
      </c>
      <c r="AM26" t="str">
        <f t="shared" si="6"/>
        <v>Reading</v>
      </c>
      <c r="AN26">
        <f t="shared" si="7"/>
        <v>100</v>
      </c>
      <c r="AP26" s="5" t="str">
        <f>IF(L26="","",VLOOKUP($L26,classifications!$C:$E,3,FALSE))</f>
        <v>South East</v>
      </c>
      <c r="AQ26" s="42" t="str">
        <f t="shared" si="30"/>
        <v/>
      </c>
      <c r="AR26" s="39" t="str">
        <f>IF(AQ26="","",IF(I$8="A",(RANK(AQ26,AQ$11:AQ$333,1)+COUNTIF(AQ$11:AQ26,AQ26)-1),(RANK(AQ26,AQ$11:AQ$333)+COUNTIF(AQ$11:AQ26,AQ26)-1)))</f>
        <v/>
      </c>
      <c r="AS26" s="3" t="str">
        <f t="shared" si="18"/>
        <v/>
      </c>
      <c r="AT26" s="39" t="str">
        <f t="shared" si="8"/>
        <v/>
      </c>
      <c r="AU26" s="42" t="str">
        <f t="shared" si="9"/>
        <v/>
      </c>
      <c r="AX26">
        <f>HLOOKUP($AX$9&amp;$AX$10,Data!$A$1:$ZT$1975,(MATCH($C26,Data!$A$1:$A$1975,0)),FALSE)</f>
        <v>90</v>
      </c>
    </row>
    <row r="27" spans="1:50">
      <c r="A27" s="55" t="str">
        <f>$D$1&amp;17</f>
        <v>UA17</v>
      </c>
      <c r="B27" s="56">
        <f>IF(ISERROR(VLOOKUP(A27,classifications!A:C,3,FALSE)),0,VLOOKUP(A27,classifications!A:C,3,FALSE))</f>
        <v>0</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Redcar &amp; Cleveland</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Urban with Significant Rural</v>
      </c>
      <c r="Y27">
        <f t="shared" si="26"/>
        <v>100</v>
      </c>
      <c r="Z27" s="39">
        <f>IF(Y27="","",IF(I$8="A",(RANK(Y27,Y$11:Y$333,1)+COUNTIF(Y$11:Y27,Y27)-1),(RANK(Y27,Y$11:Y$333)+COUNTIF(Y$11:Y27,Y27)-1)))</f>
        <v>3</v>
      </c>
      <c r="AA27" s="177" t="str">
        <f>IF(L27="","",VLOOKUP($L27,classifications!C:I,7,FALSE))</f>
        <v>Urban with Significant Rural</v>
      </c>
      <c r="AB27" s="173">
        <f t="shared" si="27"/>
        <v>100</v>
      </c>
      <c r="AC27" s="173">
        <f>IF(AB27="","",IF($I$8="A",(RANK(AB27,AB$11:AB$333)+COUNTIF(AB$11:AB27,AB27)-1),(RANK(AB27,AB$11:AB$333,1)+COUNTIF(AB$11:AB27,AB27)-1)))</f>
        <v>11</v>
      </c>
      <c r="AD27" s="173"/>
      <c r="AE27" s="45">
        <f>IF(I$8="A",(RANK(AG27,AG$11:AG$333,1)+COUNTIF(AG$11:AG27,AG27)-1),(RANK(AG27,AG$11:AG$333)+COUNTIF(AG$11:AG27,AG27)-1))</f>
        <v>16</v>
      </c>
      <c r="AF27" t="str">
        <f>VLOOKUP(Profile!$J$5,Families!$C:$R,2,FALSE)</f>
        <v>Cheshire West &amp; Chester</v>
      </c>
      <c r="AG27" s="15">
        <f t="shared" si="15"/>
        <v>100</v>
      </c>
      <c r="AH27" s="46">
        <f t="shared" si="28"/>
        <v>16</v>
      </c>
      <c r="AI27" s="5" t="str">
        <f>IF(L27="","",VLOOKUP($L27,classifications!$C:$J,8,FALSE))</f>
        <v>Unitary</v>
      </c>
      <c r="AJ27" s="42">
        <f t="shared" si="29"/>
        <v>100</v>
      </c>
      <c r="AK27" s="39">
        <f>IF(AJ27="","",IF(I$8="A",(RANK(AJ27,AJ$11:AJ$333,1)+COUNTIF(AJ$11:AJ27,AJ27)-1),(RANK(AJ27,AJ$11:AJ$333)+COUNTIF(AJ$11:AJ27,AJ27)-1)))</f>
        <v>17</v>
      </c>
      <c r="AL27" s="3">
        <f t="shared" si="16"/>
        <v>17</v>
      </c>
      <c r="AM27" t="str">
        <f t="shared" si="6"/>
        <v>Redcar &amp; Cleveland</v>
      </c>
      <c r="AN27">
        <f t="shared" si="7"/>
        <v>100</v>
      </c>
      <c r="AP27" s="5" t="str">
        <f>IF(L27="","",VLOOKUP($L27,classifications!$C:$E,3,FALSE))</f>
        <v>NE</v>
      </c>
      <c r="AQ27" s="42" t="str">
        <f t="shared" si="30"/>
        <v/>
      </c>
      <c r="AR27" s="39" t="str">
        <f>IF(AQ27="","",IF(I$8="A",(RANK(AQ27,AQ$11:AQ$333,1)+COUNTIF(AQ$11:AQ27,AQ27)-1),(RANK(AQ27,AQ$11:AQ$333)+COUNTIF(AQ$11:AQ27,AQ27)-1)))</f>
        <v/>
      </c>
      <c r="AS27" s="3" t="str">
        <f t="shared" si="18"/>
        <v/>
      </c>
      <c r="AT27" s="39" t="str">
        <f t="shared" si="8"/>
        <v/>
      </c>
      <c r="AU27" s="42" t="str">
        <f t="shared" si="9"/>
        <v/>
      </c>
      <c r="AX27">
        <f>HLOOKUP($AX$9&amp;$AX$10,Data!$A$1:$ZT$1975,(MATCH($C27,Data!$A$1:$A$1975,0)),FALSE)</f>
        <v>100</v>
      </c>
    </row>
    <row r="28" spans="1:50">
      <c r="A28" s="55" t="str">
        <f>$D$1&amp;18</f>
        <v>UA18</v>
      </c>
      <c r="B28" s="56">
        <f>IF(ISERROR(VLOOKUP(A28,classifications!A:C,3,FALSE)),0,VLOOKUP(A28,classifications!A:C,3,FALSE))</f>
        <v>0</v>
      </c>
      <c r="C28" t="s">
        <v>223</v>
      </c>
      <c r="D28" t="str">
        <f>VLOOKUP($C28,classifications!$C:$J,4,FALSE)</f>
        <v>MD</v>
      </c>
      <c r="E28">
        <f>VLOOKUP(C28,classifications!C:K,9,FALSE)</f>
        <v>0</v>
      </c>
      <c r="F28">
        <f t="shared" si="0"/>
        <v>86.36363636363636</v>
      </c>
      <c r="G28" s="15"/>
      <c r="H28" s="41" t="str">
        <f t="shared" si="1"/>
        <v/>
      </c>
      <c r="I28" s="73" t="str">
        <f>IF(H28="","",IF($I$8="A",(RANK(H28,H$11:H$333,1)+COUNTIF(H$11:H28,H28)-1),(RANK(H28,H$11:H$333)+COUNTIF(H$11:H28,H28)-1)))</f>
        <v/>
      </c>
      <c r="J28" s="40"/>
      <c r="K28" s="35">
        <f t="shared" si="10"/>
        <v>18</v>
      </c>
      <c r="L28" t="str">
        <f t="shared" si="2"/>
        <v>Southend-on-Sea</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f>IF(I$8="A",(RANK(AG28,AG$11:AG$333,1)+COUNTIF(AG$11:AG28,AG28)-1),(RANK(AG28,AG$11:AG$333)+COUNTIF(AG$11:AG28,AG28)-1))</f>
        <v>17</v>
      </c>
      <c r="AF28" t="str">
        <f>VLOOKUP(Profile!$J$5,Families!$C:$R,2,FALSE)</f>
        <v>Cheshire West &amp; Chester</v>
      </c>
      <c r="AG28" s="15">
        <f t="shared" si="15"/>
        <v>100</v>
      </c>
      <c r="AH28" s="46">
        <f t="shared" si="28"/>
        <v>17</v>
      </c>
      <c r="AI28" s="5" t="str">
        <f>IF(L28="","",VLOOKUP($L28,classifications!$C:$J,8,FALSE))</f>
        <v>Unitary</v>
      </c>
      <c r="AJ28" s="42">
        <f t="shared" si="29"/>
        <v>100</v>
      </c>
      <c r="AK28" s="39">
        <f>IF(AJ28="","",IF(I$8="A",(RANK(AJ28,AJ$11:AJ$333,1)+COUNTIF(AJ$11:AJ28,AJ28)-1),(RANK(AJ28,AJ$11:AJ$333)+COUNTIF(AJ$11:AJ28,AJ28)-1)))</f>
        <v>18</v>
      </c>
      <c r="AL28" s="3">
        <f t="shared" si="16"/>
        <v>18</v>
      </c>
      <c r="AM28" t="str">
        <f t="shared" si="6"/>
        <v>Southend-on-Sea</v>
      </c>
      <c r="AN28">
        <f t="shared" si="7"/>
        <v>100</v>
      </c>
      <c r="AP28" s="5" t="str">
        <f>IF(L28="","",VLOOKUP($L28,classifications!$C:$E,3,FALSE))</f>
        <v>East of England</v>
      </c>
      <c r="AQ28" s="42" t="str">
        <f t="shared" si="30"/>
        <v/>
      </c>
      <c r="AR28" s="39" t="str">
        <f>IF(AQ28="","",IF(I$8="A",(RANK(AQ28,AQ$11:AQ$333,1)+COUNTIF(AQ$11:AQ28,AQ28)-1),(RANK(AQ28,AQ$11:AQ$333)+COUNTIF(AQ$11:AQ28,AQ28)-1)))</f>
        <v/>
      </c>
      <c r="AS28" s="3" t="str">
        <f t="shared" si="18"/>
        <v/>
      </c>
      <c r="AT28" s="39" t="str">
        <f t="shared" si="8"/>
        <v/>
      </c>
      <c r="AU28" s="42" t="str">
        <f t="shared" si="9"/>
        <v/>
      </c>
      <c r="AX28">
        <f>HLOOKUP($AX$9&amp;$AX$10,Data!$A$1:$ZT$1975,(MATCH($C28,Data!$A$1:$A$1975,0)),FALSE)</f>
        <v>86.36363636363636</v>
      </c>
    </row>
    <row r="29" spans="1:50">
      <c r="A29" s="55" t="str">
        <f>$D$1&amp;19</f>
        <v>UA19</v>
      </c>
      <c r="B29" s="56">
        <f>IF(ISERROR(VLOOKUP(A29,classifications!A:C,3,FALSE)),0,VLOOKUP(A29,classifications!A:C,3,FALSE))</f>
        <v>0</v>
      </c>
      <c r="C29" t="s">
        <v>16</v>
      </c>
      <c r="D29" t="str">
        <f>VLOOKUP($C29,classifications!$C:$J,4,FALSE)</f>
        <v>SD</v>
      </c>
      <c r="E29">
        <f>VLOOKUP(C29,classifications!C:K,9,FALSE)</f>
        <v>0</v>
      </c>
      <c r="F29">
        <f t="shared" si="0"/>
        <v>83.333333333333343</v>
      </c>
      <c r="G29" s="15"/>
      <c r="H29" s="41" t="str">
        <f t="shared" si="1"/>
        <v/>
      </c>
      <c r="I29" s="73" t="str">
        <f>IF(H29="","",IF($I$8="A",(RANK(H29,H$11:H$333,1)+COUNTIF(H$11:H29,H29)-1),(RANK(H29,H$11:H$333)+COUNTIF(H$11:H29,H29)-1)))</f>
        <v/>
      </c>
      <c r="J29" s="40"/>
      <c r="K29" s="35">
        <f t="shared" si="10"/>
        <v>19</v>
      </c>
      <c r="L29" t="str">
        <f t="shared" si="2"/>
        <v>Stoke-on-Trent</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f>IF(I$8="A",(RANK(AG29,AG$11:AG$333,1)+COUNTIF(AG$11:AG29,AG29)-1),(RANK(AG29,AG$11:AG$333)+COUNTIF(AG$11:AG29,AG29)-1))</f>
        <v>18</v>
      </c>
      <c r="AF29" t="str">
        <f>VLOOKUP(Profile!$J$5,Families!$C:$R,2,FALSE)</f>
        <v>Cheshire West &amp; Chester</v>
      </c>
      <c r="AG29" s="15">
        <f t="shared" si="15"/>
        <v>100</v>
      </c>
      <c r="AH29" s="46">
        <f t="shared" si="28"/>
        <v>18</v>
      </c>
      <c r="AI29" s="5" t="str">
        <f>IF(L29="","",VLOOKUP($L29,classifications!$C:$J,8,FALSE))</f>
        <v>Unitary</v>
      </c>
      <c r="AJ29" s="42">
        <f t="shared" si="29"/>
        <v>100</v>
      </c>
      <c r="AK29" s="39">
        <f>IF(AJ29="","",IF(I$8="A",(RANK(AJ29,AJ$11:AJ$333,1)+COUNTIF(AJ$11:AJ29,AJ29)-1),(RANK(AJ29,AJ$11:AJ$333)+COUNTIF(AJ$11:AJ29,AJ29)-1)))</f>
        <v>19</v>
      </c>
      <c r="AL29" s="3">
        <f t="shared" si="16"/>
        <v>19</v>
      </c>
      <c r="AM29" t="str">
        <f t="shared" si="6"/>
        <v>Stoke-on-Trent</v>
      </c>
      <c r="AN29">
        <f t="shared" si="7"/>
        <v>100</v>
      </c>
      <c r="AP29" s="5" t="str">
        <f>IF(L29="","",VLOOKUP($L29,classifications!$C:$E,3,FALSE))</f>
        <v>West Midlands</v>
      </c>
      <c r="AQ29" s="42" t="str">
        <f t="shared" si="30"/>
        <v/>
      </c>
      <c r="AR29" s="39" t="str">
        <f>IF(AQ29="","",IF(I$8="A",(RANK(AQ29,AQ$11:AQ$333,1)+COUNTIF(AQ$11:AQ29,AQ29)-1),(RANK(AQ29,AQ$11:AQ$333)+COUNTIF(AQ$11:AQ29,AQ29)-1)))</f>
        <v/>
      </c>
      <c r="AS29" s="3" t="str">
        <f t="shared" si="18"/>
        <v/>
      </c>
      <c r="AT29" s="39" t="str">
        <f t="shared" si="8"/>
        <v/>
      </c>
      <c r="AU29" s="42" t="str">
        <f t="shared" si="9"/>
        <v/>
      </c>
      <c r="AX29">
        <f>HLOOKUP($AX$9&amp;$AX$10,Data!$A$1:$ZT$1975,(MATCH($C29,Data!$A$1:$A$1975,0)),FALSE)</f>
        <v>83.333333333333343</v>
      </c>
    </row>
    <row r="30" spans="1:50">
      <c r="A30" s="55" t="str">
        <f>$D$1&amp;20</f>
        <v>UA20</v>
      </c>
      <c r="B30" s="56">
        <f>IF(ISERROR(VLOOKUP(A30,classifications!A:C,3,FALSE)),0,VLOOKUP(A30,classifications!A:C,3,FALSE))</f>
        <v>0</v>
      </c>
      <c r="C30" t="s">
        <v>260</v>
      </c>
      <c r="D30" t="str">
        <f>VLOOKUP($C30,classifications!$C:$J,4,FALSE)</f>
        <v>UA</v>
      </c>
      <c r="E30">
        <f>VLOOKUP(C30,classifications!C:K,9,FALSE)</f>
        <v>0</v>
      </c>
      <c r="F30">
        <f t="shared" si="0"/>
        <v>100</v>
      </c>
      <c r="G30" s="15"/>
      <c r="H30" s="41">
        <f t="shared" si="1"/>
        <v>100</v>
      </c>
      <c r="I30" s="73">
        <f>IF(H30="","",IF($I$8="A",(RANK(H30,H$11:H$333,1)+COUNTIF(H$11:H30,H30)-1),(RANK(H30,H$11:H$333)+COUNTIF(H$11:H30,H30)-1)))</f>
        <v>2</v>
      </c>
      <c r="J30" s="40"/>
      <c r="K30" s="35">
        <f t="shared" si="10"/>
        <v>20</v>
      </c>
      <c r="L30" t="str">
        <f t="shared" si="2"/>
        <v>Swindon</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f>IF(I$8="A",(RANK(AG30,AG$11:AG$333,1)+COUNTIF(AG$11:AG30,AG30)-1),(RANK(AG30,AG$11:AG$333)+COUNTIF(AG$11:AG30,AG30)-1))</f>
        <v>19</v>
      </c>
      <c r="AF30" t="str">
        <f>VLOOKUP(Profile!$J$5,Families!$C:$R,2,FALSE)</f>
        <v>Cheshire West &amp; Chester</v>
      </c>
      <c r="AG30" s="15">
        <f t="shared" si="15"/>
        <v>100</v>
      </c>
      <c r="AH30" s="46">
        <f t="shared" si="28"/>
        <v>19</v>
      </c>
      <c r="AI30" s="5" t="str">
        <f>IF(L30="","",VLOOKUP($L30,classifications!$C:$J,8,FALSE))</f>
        <v>Unitary</v>
      </c>
      <c r="AJ30" s="42">
        <f t="shared" si="29"/>
        <v>100</v>
      </c>
      <c r="AK30" s="39">
        <f>IF(AJ30="","",IF(I$8="A",(RANK(AJ30,AJ$11:AJ$333,1)+COUNTIF(AJ$11:AJ30,AJ30)-1),(RANK(AJ30,AJ$11:AJ$333)+COUNTIF(AJ$11:AJ30,AJ30)-1)))</f>
        <v>20</v>
      </c>
      <c r="AL30" s="3">
        <f t="shared" si="16"/>
        <v>20</v>
      </c>
      <c r="AM30" t="str">
        <f t="shared" si="6"/>
        <v>Swindon</v>
      </c>
      <c r="AN30">
        <f t="shared" si="7"/>
        <v>100</v>
      </c>
      <c r="AP30" s="5" t="str">
        <f>IF(L30="","",VLOOKUP($L30,classifications!$C:$E,3,FALSE))</f>
        <v>South West</v>
      </c>
      <c r="AQ30" s="42" t="str">
        <f t="shared" si="30"/>
        <v/>
      </c>
      <c r="AR30" s="39" t="str">
        <f>IF(AQ30="","",IF(I$8="A",(RANK(AQ30,AQ$11:AQ$333,1)+COUNTIF(AQ$11:AQ30,AQ30)-1),(RANK(AQ30,AQ$11:AQ$333)+COUNTIF(AQ$11:AQ30,AQ30)-1)))</f>
        <v/>
      </c>
      <c r="AS30" s="3" t="str">
        <f t="shared" si="18"/>
        <v/>
      </c>
      <c r="AT30" s="39" t="str">
        <f t="shared" si="8"/>
        <v/>
      </c>
      <c r="AU30" s="42" t="str">
        <f t="shared" si="9"/>
        <v/>
      </c>
      <c r="AX30">
        <f>HLOOKUP($AX$9&amp;$AX$10,Data!$A$1:$ZT$1975,(MATCH($C30,Data!$A$1:$A$1975,0)),FALSE)</f>
        <v>100</v>
      </c>
    </row>
    <row r="31" spans="1:50">
      <c r="A31" s="55" t="str">
        <f>$D$1&amp;21</f>
        <v>UA21</v>
      </c>
      <c r="B31" s="56">
        <f>IF(ISERROR(VLOOKUP(A31,classifications!A:C,3,FALSE)),0,VLOOKUP(A31,classifications!A:C,3,FALSE))</f>
        <v>0</v>
      </c>
      <c r="C31" t="s">
        <v>261</v>
      </c>
      <c r="D31" t="str">
        <f>VLOOKUP($C31,classifications!$C:$J,4,FALSE)</f>
        <v>UA</v>
      </c>
      <c r="E31">
        <f>VLOOKUP(C31,classifications!C:K,9,FALSE)</f>
        <v>0</v>
      </c>
      <c r="F31">
        <f t="shared" si="0"/>
        <v>100</v>
      </c>
      <c r="G31" s="15"/>
      <c r="H31" s="41">
        <f t="shared" si="1"/>
        <v>100</v>
      </c>
      <c r="I31" s="73">
        <f>IF(H31="","",IF($I$8="A",(RANK(H31,H$11:H$333,1)+COUNTIF(H$11:H31,H31)-1),(RANK(H31,H$11:H$333)+COUNTIF(H$11:H31,H31)-1)))</f>
        <v>3</v>
      </c>
      <c r="J31" s="40"/>
      <c r="K31" s="35">
        <f t="shared" si="10"/>
        <v>21</v>
      </c>
      <c r="L31" t="str">
        <f t="shared" si="2"/>
        <v>Telford &amp; Wrekin</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f>IF(I$8="A",(RANK(AG31,AG$11:AG$333,1)+COUNTIF(AG$11:AG31,AG31)-1),(RANK(AG31,AG$11:AG$333)+COUNTIF(AG$11:AG31,AG31)-1))</f>
        <v>20</v>
      </c>
      <c r="AF31" t="str">
        <f>VLOOKUP(Profile!$J$5,Families!$C:$R,2,FALSE)</f>
        <v>Cheshire West &amp; Chester</v>
      </c>
      <c r="AG31" s="15">
        <f t="shared" si="15"/>
        <v>100</v>
      </c>
      <c r="AH31" s="46">
        <f t="shared" si="28"/>
        <v>20</v>
      </c>
      <c r="AI31" s="5" t="str">
        <f>IF(L31="","",VLOOKUP($L31,classifications!$C:$J,8,FALSE))</f>
        <v>Unitary</v>
      </c>
      <c r="AJ31" s="42">
        <f t="shared" si="29"/>
        <v>100</v>
      </c>
      <c r="AK31" s="39">
        <f>IF(AJ31="","",IF(I$8="A",(RANK(AJ31,AJ$11:AJ$333,1)+COUNTIF(AJ$11:AJ31,AJ31)-1),(RANK(AJ31,AJ$11:AJ$333)+COUNTIF(AJ$11:AJ31,AJ31)-1)))</f>
        <v>21</v>
      </c>
      <c r="AL31" s="3">
        <f t="shared" si="16"/>
        <v>21</v>
      </c>
      <c r="AM31" t="str">
        <f t="shared" si="6"/>
        <v>Telford &amp; Wrekin</v>
      </c>
      <c r="AN31">
        <f t="shared" si="7"/>
        <v>100</v>
      </c>
      <c r="AP31" s="5" t="str">
        <f>IF(L31="","",VLOOKUP($L31,classifications!$C:$E,3,FALSE))</f>
        <v>West Midlands</v>
      </c>
      <c r="AQ31" s="42" t="str">
        <f t="shared" si="30"/>
        <v/>
      </c>
      <c r="AR31" s="39" t="str">
        <f>IF(AQ31="","",IF(I$8="A",(RANK(AQ31,AQ$11:AQ$333,1)+COUNTIF(AQ$11:AQ31,AQ31)-1),(RANK(AQ31,AQ$11:AQ$333)+COUNTIF(AQ$11:AQ31,AQ31)-1)))</f>
        <v/>
      </c>
      <c r="AS31" s="3" t="str">
        <f t="shared" si="18"/>
        <v/>
      </c>
      <c r="AT31" s="39" t="str">
        <f t="shared" si="8"/>
        <v/>
      </c>
      <c r="AU31" s="42" t="str">
        <f t="shared" si="9"/>
        <v/>
      </c>
      <c r="AX31">
        <f>HLOOKUP($AX$9&amp;$AX$10,Data!$A$1:$ZT$1975,(MATCH($C31,Data!$A$1:$A$1975,0)),FALSE)</f>
        <v>100</v>
      </c>
    </row>
    <row r="32" spans="1:50">
      <c r="A32" s="55" t="str">
        <f>$D$1&amp;22</f>
        <v>UA22</v>
      </c>
      <c r="B32" s="56">
        <f>IF(ISERROR(VLOOKUP(A32,classifications!A:C,3,FALSE)),0,VLOOKUP(A32,classifications!A:C,3,FALSE))</f>
        <v>0</v>
      </c>
      <c r="C32" t="s">
        <v>17</v>
      </c>
      <c r="D32" t="str">
        <f>VLOOKUP($C32,classifications!$C:$J,4,FALSE)</f>
        <v>SD</v>
      </c>
      <c r="E32">
        <f>VLOOKUP(C32,classifications!C:K,9,FALSE)</f>
        <v>0</v>
      </c>
      <c r="F32">
        <f t="shared" si="0"/>
        <v>85.714285714285708</v>
      </c>
      <c r="G32" s="15"/>
      <c r="H32" s="41" t="str">
        <f t="shared" si="1"/>
        <v/>
      </c>
      <c r="I32" s="73" t="str">
        <f>IF(H32="","",IF($I$8="A",(RANK(H32,H$11:H$333,1)+COUNTIF(H$11:H32,H32)-1),(RANK(H32,H$11:H$333)+COUNTIF(H$11:H32,H32)-1)))</f>
        <v/>
      </c>
      <c r="J32" s="40"/>
      <c r="K32" s="35">
        <f t="shared" si="10"/>
        <v>22</v>
      </c>
      <c r="L32" t="str">
        <f t="shared" si="2"/>
        <v>Thurrock</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f>IF(I$8="A",(RANK(AG32,AG$11:AG$333,1)+COUNTIF(AG$11:AG32,AG32)-1),(RANK(AG32,AG$11:AG$333)+COUNTIF(AG$11:AG32,AG32)-1))</f>
        <v>21</v>
      </c>
      <c r="AF32" t="str">
        <f>VLOOKUP(Profile!$J$5,Families!$C:$R,2,FALSE)</f>
        <v>Cheshire West &amp; Chester</v>
      </c>
      <c r="AG32" s="15">
        <f t="shared" si="15"/>
        <v>100</v>
      </c>
      <c r="AH32" s="46">
        <f t="shared" si="28"/>
        <v>21</v>
      </c>
      <c r="AI32" s="5" t="str">
        <f>IF(L32="","",VLOOKUP($L32,classifications!$C:$J,8,FALSE))</f>
        <v>Unitary</v>
      </c>
      <c r="AJ32" s="42">
        <f t="shared" si="29"/>
        <v>100</v>
      </c>
      <c r="AK32" s="39">
        <f>IF(AJ32="","",IF(I$8="A",(RANK(AJ32,AJ$11:AJ$333,1)+COUNTIF(AJ$11:AJ32,AJ32)-1),(RANK(AJ32,AJ$11:AJ$333)+COUNTIF(AJ$11:AJ32,AJ32)-1)))</f>
        <v>22</v>
      </c>
      <c r="AL32" s="3">
        <f t="shared" si="16"/>
        <v>22</v>
      </c>
      <c r="AM32" t="str">
        <f t="shared" si="6"/>
        <v>Thurrock</v>
      </c>
      <c r="AN32">
        <f t="shared" si="7"/>
        <v>100</v>
      </c>
      <c r="AP32" s="5" t="str">
        <f>IF(L32="","",VLOOKUP($L32,classifications!$C:$E,3,FALSE))</f>
        <v>East of England</v>
      </c>
      <c r="AQ32" s="42" t="str">
        <f t="shared" si="30"/>
        <v/>
      </c>
      <c r="AR32" s="39" t="str">
        <f>IF(AQ32="","",IF(I$8="A",(RANK(AQ32,AQ$11:AQ$333,1)+COUNTIF(AQ$11:AQ32,AQ32)-1),(RANK(AQ32,AQ$11:AQ$333)+COUNTIF(AQ$11:AQ32,AQ32)-1)))</f>
        <v/>
      </c>
      <c r="AS32" s="3" t="str">
        <f t="shared" si="18"/>
        <v/>
      </c>
      <c r="AT32" s="39" t="str">
        <f t="shared" si="8"/>
        <v/>
      </c>
      <c r="AU32" s="42" t="str">
        <f t="shared" si="9"/>
        <v/>
      </c>
      <c r="AX32">
        <f>HLOOKUP($AX$9&amp;$AX$10,Data!$A$1:$ZT$1975,(MATCH($C32,Data!$A$1:$A$1975,0)),FALSE)</f>
        <v>85.714285714285708</v>
      </c>
    </row>
    <row r="33" spans="1:50">
      <c r="A33" s="55" t="str">
        <f>$D$1&amp;23</f>
        <v>UA23</v>
      </c>
      <c r="B33" s="56">
        <f>IF(ISERROR(VLOOKUP(A33,classifications!A:C,3,FALSE)),0,VLOOKUP(A33,classifications!A:C,3,FALSE))</f>
        <v>0</v>
      </c>
      <c r="C33" t="s">
        <v>224</v>
      </c>
      <c r="D33" t="str">
        <f>VLOOKUP($C33,classifications!$C:$J,4,FALSE)</f>
        <v>MD</v>
      </c>
      <c r="E33">
        <f>VLOOKUP(C33,classifications!C:K,9,FALSE)</f>
        <v>0</v>
      </c>
      <c r="F33">
        <f t="shared" si="0"/>
        <v>81.818181818181827</v>
      </c>
      <c r="G33" s="15"/>
      <c r="H33" s="41" t="str">
        <f t="shared" si="1"/>
        <v/>
      </c>
      <c r="I33" s="73" t="str">
        <f>IF(H33="","",IF($I$8="A",(RANK(H33,H$11:H$333,1)+COUNTIF(H$11:H33,H33)-1),(RANK(H33,H$11:H$333)+COUNTIF(H$11:H33,H33)-1)))</f>
        <v/>
      </c>
      <c r="J33" s="40"/>
      <c r="K33" s="35">
        <f t="shared" si="10"/>
        <v>23</v>
      </c>
      <c r="L33" t="str">
        <f t="shared" si="2"/>
        <v>Wokingham</v>
      </c>
      <c r="M33" s="109">
        <f t="shared" si="3"/>
        <v>100</v>
      </c>
      <c r="N33" s="104">
        <f t="shared" si="19"/>
        <v>100</v>
      </c>
      <c r="O33" s="89">
        <f t="shared" si="20"/>
        <v>100</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f>IF(I$8="A",(RANK(AG33,AG$11:AG$333,1)+COUNTIF(AG$11:AG33,AG33)-1),(RANK(AG33,AG$11:AG$333)+COUNTIF(AG$11:AG33,AG33)-1))</f>
        <v>22</v>
      </c>
      <c r="AF33" t="str">
        <f>VLOOKUP(Profile!$J$5,Families!$C:$R,2,FALSE)</f>
        <v>Cheshire West &amp; Chester</v>
      </c>
      <c r="AG33" s="15">
        <f t="shared" si="15"/>
        <v>100</v>
      </c>
      <c r="AH33" s="46">
        <f t="shared" si="28"/>
        <v>22</v>
      </c>
      <c r="AI33" s="5" t="str">
        <f>IF(L33="","",VLOOKUP($L33,classifications!$C:$J,8,FALSE))</f>
        <v>Unitary</v>
      </c>
      <c r="AJ33" s="42">
        <f t="shared" si="29"/>
        <v>100</v>
      </c>
      <c r="AK33" s="39">
        <f>IF(AJ33="","",IF(I$8="A",(RANK(AJ33,AJ$11:AJ$333,1)+COUNTIF(AJ$11:AJ33,AJ33)-1),(RANK(AJ33,AJ$11:AJ$333)+COUNTIF(AJ$11:AJ33,AJ33)-1)))</f>
        <v>23</v>
      </c>
      <c r="AL33" s="3">
        <f t="shared" si="16"/>
        <v>23</v>
      </c>
      <c r="AM33" t="str">
        <f t="shared" si="6"/>
        <v>Wokingham</v>
      </c>
      <c r="AN33">
        <f t="shared" si="7"/>
        <v>100</v>
      </c>
      <c r="AP33" s="5" t="str">
        <f>IF(L33="","",VLOOKUP($L33,classifications!$C:$E,3,FALSE))</f>
        <v>South East</v>
      </c>
      <c r="AQ33" s="42" t="str">
        <f t="shared" si="30"/>
        <v/>
      </c>
      <c r="AR33" s="39" t="str">
        <f>IF(AQ33="","",IF(I$8="A",(RANK(AQ33,AQ$11:AQ$333,1)+COUNTIF(AQ$11:AQ33,AQ33)-1),(RANK(AQ33,AQ$11:AQ$333)+COUNTIF(AQ$11:AQ33,AQ33)-1)))</f>
        <v/>
      </c>
      <c r="AS33" s="3" t="str">
        <f t="shared" si="18"/>
        <v/>
      </c>
      <c r="AT33" s="39" t="str">
        <f t="shared" si="8"/>
        <v/>
      </c>
      <c r="AU33" s="42" t="str">
        <f t="shared" si="9"/>
        <v/>
      </c>
      <c r="AX33">
        <f>HLOOKUP($AX$9&amp;$AX$10,Data!$A$1:$ZT$1975,(MATCH($C33,Data!$A$1:$A$1975,0)),FALSE)</f>
        <v>81.818181818181827</v>
      </c>
    </row>
    <row r="34" spans="1:50">
      <c r="A34" s="55" t="str">
        <f>$D$1&amp;24</f>
        <v>UA24</v>
      </c>
      <c r="B34" s="56">
        <f>IF(ISERROR(VLOOKUP(A34,classifications!A:C,3,FALSE)),0,VLOOKUP(A34,classifications!A:C,3,FALSE))</f>
        <v>0</v>
      </c>
      <c r="C34" t="s">
        <v>18</v>
      </c>
      <c r="D34" t="str">
        <f>VLOOKUP($C34,classifications!$C:$J,4,FALSE)</f>
        <v>SD</v>
      </c>
      <c r="E34" t="str">
        <f>VLOOKUP(C34,classifications!C:K,9,FALSE)</f>
        <v>Sparse</v>
      </c>
      <c r="F34">
        <f t="shared" si="0"/>
        <v>100</v>
      </c>
      <c r="G34" s="15"/>
      <c r="H34" s="41" t="str">
        <f t="shared" si="1"/>
        <v/>
      </c>
      <c r="I34" s="73" t="str">
        <f>IF(H34="","",IF($I$8="A",(RANK(H34,H$11:H$333,1)+COUNTIF(H$11:H34,H34)-1),(RANK(H34,H$11:H$333)+COUNTIF(H$11:H34,H34)-1)))</f>
        <v/>
      </c>
      <c r="J34" s="40"/>
      <c r="K34" s="35">
        <f t="shared" si="10"/>
        <v>24</v>
      </c>
      <c r="L34" t="str">
        <f t="shared" si="2"/>
        <v>York</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f>IF(I$8="A",(RANK(AG34,AG$11:AG$333,1)+COUNTIF(AG$11:AG34,AG34)-1),(RANK(AG34,AG$11:AG$333)+COUNTIF(AG$11:AG34,AG34)-1))</f>
        <v>23</v>
      </c>
      <c r="AF34" t="str">
        <f>VLOOKUP(Profile!$J$5,Families!$C:$R,2,FALSE)</f>
        <v>Cheshire West &amp; Chester</v>
      </c>
      <c r="AG34" s="15">
        <f t="shared" si="15"/>
        <v>100</v>
      </c>
      <c r="AH34" s="46">
        <f t="shared" si="28"/>
        <v>23</v>
      </c>
      <c r="AI34" s="5" t="str">
        <f>IF(L34="","",VLOOKUP($L34,classifications!$C:$J,8,FALSE))</f>
        <v>Unitary</v>
      </c>
      <c r="AJ34" s="42">
        <f t="shared" si="29"/>
        <v>100</v>
      </c>
      <c r="AK34" s="39">
        <f>IF(AJ34="","",IF(I$8="A",(RANK(AJ34,AJ$11:AJ$333,1)+COUNTIF(AJ$11:AJ34,AJ34)-1),(RANK(AJ34,AJ$11:AJ$333)+COUNTIF(AJ$11:AJ34,AJ34)-1)))</f>
        <v>24</v>
      </c>
      <c r="AL34" s="3">
        <f t="shared" si="16"/>
        <v>24</v>
      </c>
      <c r="AM34" t="str">
        <f t="shared" si="6"/>
        <v>York</v>
      </c>
      <c r="AN34">
        <f t="shared" si="7"/>
        <v>100</v>
      </c>
      <c r="AP34" s="5" t="str">
        <f>IF(L34="","",VLOOKUP($L34,classifications!$C:$E,3,FALSE))</f>
        <v>Yorkshire &amp; Humberside</v>
      </c>
      <c r="AQ34" s="42" t="str">
        <f t="shared" si="30"/>
        <v/>
      </c>
      <c r="AR34" s="39" t="str">
        <f>IF(AQ34="","",IF(I$8="A",(RANK(AQ34,AQ$11:AQ$333,1)+COUNTIF(AQ$11:AQ34,AQ34)-1),(RANK(AQ34,AQ$11:AQ$333)+COUNTIF(AQ$11:AQ34,AQ34)-1)))</f>
        <v/>
      </c>
      <c r="AS34" s="3" t="str">
        <f t="shared" si="18"/>
        <v/>
      </c>
      <c r="AT34" s="39" t="str">
        <f t="shared" si="8"/>
        <v/>
      </c>
      <c r="AU34" s="42" t="str">
        <f t="shared" si="9"/>
        <v/>
      </c>
      <c r="AX34">
        <f>HLOOKUP($AX$9&amp;$AX$10,Data!$A$1:$ZT$1975,(MATCH($C34,Data!$A$1:$A$1975,0)),FALSE)</f>
        <v>100</v>
      </c>
    </row>
    <row r="35" spans="1:50">
      <c r="A35" s="55" t="str">
        <f>$D$1&amp;25</f>
        <v>UA25</v>
      </c>
      <c r="B35" s="56">
        <f>IF(ISERROR(VLOOKUP(A35,classifications!A:C,3,FALSE)),0,VLOOKUP(A35,classifications!A:C,3,FALSE))</f>
        <v>0</v>
      </c>
      <c r="C35" t="s">
        <v>896</v>
      </c>
      <c r="D35" t="str">
        <f>VLOOKUP($C35,classifications!$C:$J,4,FALSE)</f>
        <v>UA</v>
      </c>
      <c r="E35">
        <f>VLOOKUP(C35,classifications!C:K,9,FALSE)</f>
        <v>0</v>
      </c>
      <c r="F35">
        <f t="shared" si="0"/>
        <v>80</v>
      </c>
      <c r="G35" s="15"/>
      <c r="H35" s="41">
        <f t="shared" si="1"/>
        <v>80</v>
      </c>
      <c r="I35" s="73">
        <f>IF(H35="","",IF($I$8="A",(RANK(H35,H$11:H$333,1)+COUNTIF(H$11:H35,H35)-1),(RANK(H35,H$11:H$333)+COUNTIF(H$11:H35,H35)-1)))</f>
        <v>52</v>
      </c>
      <c r="J35" s="40"/>
      <c r="K35" s="35">
        <f t="shared" si="10"/>
        <v>25</v>
      </c>
      <c r="L35" t="str">
        <f t="shared" si="2"/>
        <v>Buckinghamshire</v>
      </c>
      <c r="M35" s="109">
        <f t="shared" si="3"/>
        <v>96.969696969696969</v>
      </c>
      <c r="N35" s="104">
        <f t="shared" si="19"/>
        <v>96.969696969696969</v>
      </c>
      <c r="O35" s="89" t="str">
        <f t="shared" si="20"/>
        <v/>
      </c>
      <c r="P35" s="89">
        <f t="shared" si="21"/>
        <v>96.969696969696969</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Urban with Significant Rural</v>
      </c>
      <c r="Y35">
        <f t="shared" si="26"/>
        <v>96.969696969696969</v>
      </c>
      <c r="Z35" s="39">
        <f>IF(Y35="","",IF(I$8="A",(RANK(Y35,Y$11:Y$333,1)+COUNTIF(Y$11:Y35,Y35)-1),(RANK(Y35,Y$11:Y$333)+COUNTIF(Y$11:Y35,Y35)-1)))</f>
        <v>4</v>
      </c>
      <c r="AA35" s="177" t="str">
        <f>IF(L35="","",VLOOKUP($L35,classifications!C:I,7,FALSE))</f>
        <v>Urban with Significant Rural</v>
      </c>
      <c r="AB35" s="173">
        <f t="shared" si="27"/>
        <v>96.969696969696969</v>
      </c>
      <c r="AC35" s="173">
        <f>IF(AB35="","",IF($I$8="A",(RANK(AB35,AB$11:AB$333)+COUNTIF(AB$11:AB35,AB35)-1),(RANK(AB35,AB$11:AB$333,1)+COUNTIF(AB$11:AB35,AB35)-1)))</f>
        <v>8</v>
      </c>
      <c r="AD35" s="173"/>
      <c r="AE35" s="45">
        <f>IF(I$8="A",(RANK(AG35,AG$11:AG$333,1)+COUNTIF(AG$11:AG35,AG35)-1),(RANK(AG35,AG$11:AG$333)+COUNTIF(AG$11:AG35,AG35)-1))</f>
        <v>24</v>
      </c>
      <c r="AF35" t="str">
        <f>VLOOKUP(Profile!$J$5,Families!$C:$R,2,FALSE)</f>
        <v>Cheshire West &amp; Chester</v>
      </c>
      <c r="AG35" s="15">
        <f t="shared" si="15"/>
        <v>100</v>
      </c>
      <c r="AH35" s="46">
        <f t="shared" si="28"/>
        <v>24</v>
      </c>
      <c r="AI35" s="5" t="str">
        <f>IF(L35="","",VLOOKUP($L35,classifications!$C:$J,8,FALSE))</f>
        <v>Unitary</v>
      </c>
      <c r="AJ35" s="42">
        <f t="shared" si="29"/>
        <v>96.969696969696969</v>
      </c>
      <c r="AK35" s="39">
        <f>IF(AJ35="","",IF(I$8="A",(RANK(AJ35,AJ$11:AJ$333,1)+COUNTIF(AJ$11:AJ35,AJ35)-1),(RANK(AJ35,AJ$11:AJ$333)+COUNTIF(AJ$11:AJ35,AJ35)-1)))</f>
        <v>25</v>
      </c>
      <c r="AL35" s="3">
        <f t="shared" si="16"/>
        <v>25</v>
      </c>
      <c r="AM35" t="str">
        <f t="shared" si="6"/>
        <v>Buckinghamshire</v>
      </c>
      <c r="AN35">
        <f t="shared" si="7"/>
        <v>96.969696969696969</v>
      </c>
      <c r="AP35" s="5" t="str">
        <f>IF(L35="","",VLOOKUP($L35,classifications!$C:$E,3,FALSE))</f>
        <v>South East</v>
      </c>
      <c r="AQ35" s="42" t="str">
        <f t="shared" si="30"/>
        <v/>
      </c>
      <c r="AR35" s="39" t="str">
        <f>IF(AQ35="","",IF(I$8="A",(RANK(AQ35,AQ$11:AQ$333,1)+COUNTIF(AQ$11:AQ35,AQ35)-1),(RANK(AQ35,AQ$11:AQ$333)+COUNTIF(AQ$11:AQ35,AQ35)-1)))</f>
        <v/>
      </c>
      <c r="AS35" s="3" t="str">
        <f t="shared" si="18"/>
        <v/>
      </c>
      <c r="AT35" s="39" t="str">
        <f t="shared" si="8"/>
        <v/>
      </c>
      <c r="AU35" s="42" t="str">
        <f t="shared" si="9"/>
        <v/>
      </c>
      <c r="AX35">
        <f>HLOOKUP($AX$9&amp;$AX$10,Data!$A$1:$ZT$1975,(MATCH($C35,Data!$A$1:$A$1975,0)),FALSE)</f>
        <v>80</v>
      </c>
    </row>
    <row r="36" spans="1:50">
      <c r="A36" s="55" t="str">
        <f>$D$1&amp;26</f>
        <v>UA26</v>
      </c>
      <c r="B36" s="56">
        <f>IF(ISERROR(VLOOKUP(A36,classifications!A:C,3,FALSE)),0,VLOOKUP(A36,classifications!A:C,3,FALSE))</f>
        <v>0</v>
      </c>
      <c r="C36" t="s">
        <v>263</v>
      </c>
      <c r="D36" t="str">
        <f>VLOOKUP($C36,classifications!$C:$J,4,FALSE)</f>
        <v>UA</v>
      </c>
      <c r="E36">
        <f>VLOOKUP(C36,classifications!C:K,9,FALSE)</f>
        <v>0</v>
      </c>
      <c r="F36">
        <f t="shared" si="0"/>
        <v>88.888888888888886</v>
      </c>
      <c r="G36" s="15"/>
      <c r="H36" s="41">
        <f t="shared" si="1"/>
        <v>88.888888888888886</v>
      </c>
      <c r="I36" s="73">
        <f>IF(H36="","",IF($I$8="A",(RANK(H36,H$11:H$333,1)+COUNTIF(H$11:H36,H36)-1),(RANK(H36,H$11:H$333)+COUNTIF(H$11:H36,H36)-1)))</f>
        <v>37</v>
      </c>
      <c r="J36" s="40"/>
      <c r="K36" s="35">
        <f t="shared" si="10"/>
        <v>26</v>
      </c>
      <c r="L36" t="str">
        <f t="shared" si="2"/>
        <v>Durham</v>
      </c>
      <c r="M36" s="109">
        <f t="shared" si="3"/>
        <v>96.15384615384616</v>
      </c>
      <c r="N36" s="104">
        <f t="shared" si="19"/>
        <v>96.15384615384616</v>
      </c>
      <c r="O36" s="89" t="str">
        <f t="shared" si="20"/>
        <v/>
      </c>
      <c r="P36" s="89">
        <f t="shared" si="21"/>
        <v>96.15384615384616</v>
      </c>
      <c r="Q36" s="89" t="str">
        <f t="shared" si="22"/>
        <v/>
      </c>
      <c r="R36" s="85" t="str">
        <f t="shared" si="23"/>
        <v/>
      </c>
      <c r="S36" s="41" t="str">
        <f t="shared" si="24"/>
        <v/>
      </c>
      <c r="T36" s="166" t="str">
        <f>IF(L36="","",VLOOKUP(L36,classifications!C:K,9,FALSE))</f>
        <v>Sparse</v>
      </c>
      <c r="U36" s="167">
        <f t="shared" si="25"/>
        <v>96.15384615384616</v>
      </c>
      <c r="V36" s="173">
        <f>IF(U36="","",IF($I$8="A",(RANK(U36,U$11:U$333)+COUNTIF(U$11:U36,U36)-1),(RANK(U36,U$11:U$333,1)+COUNTIF(U$11:U36,U36)-1)))</f>
        <v>15</v>
      </c>
      <c r="W36" s="174"/>
      <c r="X36" s="5" t="str">
        <f>IF(L36="","",VLOOKUP($L36,classifications!$C:$J,6,FALSE))</f>
        <v xml:space="preserve">Predominantly Rural </v>
      </c>
      <c r="Y36">
        <f t="shared" si="26"/>
        <v>96.15384615384616</v>
      </c>
      <c r="Z36" s="39">
        <f>IF(Y36="","",IF(I$8="A",(RANK(Y36,Y$11:Y$333,1)+COUNTIF(Y$11:Y36,Y36)-1),(RANK(Y36,Y$11:Y$333)+COUNTIF(Y$11:Y36,Y36)-1)))</f>
        <v>5</v>
      </c>
      <c r="AA36" s="177" t="str">
        <f>IF(L36="","",VLOOKUP($L36,classifications!C:I,7,FALSE))</f>
        <v>Predominantly Rural</v>
      </c>
      <c r="AB36" s="173" t="str">
        <f t="shared" si="27"/>
        <v/>
      </c>
      <c r="AC36" s="173" t="str">
        <f>IF(AB36="","",IF($I$8="A",(RANK(AB36,AB$11:AB$333)+COUNTIF(AB$11:AB36,AB36)-1),(RANK(AB36,AB$11:AB$333,1)+COUNTIF(AB$11:AB36,AB36)-1)))</f>
        <v/>
      </c>
      <c r="AD36" s="173"/>
      <c r="AE36" s="45">
        <f>IF(I$8="A",(RANK(AG36,AG$11:AG$333,1)+COUNTIF(AG$11:AG36,AG36)-1),(RANK(AG36,AG$11:AG$333)+COUNTIF(AG$11:AG36,AG36)-1))</f>
        <v>25</v>
      </c>
      <c r="AF36" t="str">
        <f>VLOOKUP(Profile!$J$5,Families!$C:$R,2,FALSE)</f>
        <v>Cheshire West &amp; Chester</v>
      </c>
      <c r="AG36" s="15">
        <f t="shared" si="15"/>
        <v>100</v>
      </c>
      <c r="AH36" s="46">
        <f t="shared" si="28"/>
        <v>25</v>
      </c>
      <c r="AI36" s="5" t="str">
        <f>IF(L36="","",VLOOKUP($L36,classifications!$C:$J,8,FALSE))</f>
        <v>Unitary</v>
      </c>
      <c r="AJ36" s="42">
        <f t="shared" si="29"/>
        <v>96.15384615384616</v>
      </c>
      <c r="AK36" s="39">
        <f>IF(AJ36="","",IF(I$8="A",(RANK(AJ36,AJ$11:AJ$333,1)+COUNTIF(AJ$11:AJ36,AJ36)-1),(RANK(AJ36,AJ$11:AJ$333)+COUNTIF(AJ$11:AJ36,AJ36)-1)))</f>
        <v>26</v>
      </c>
      <c r="AL36" s="3">
        <f t="shared" si="16"/>
        <v>26</v>
      </c>
      <c r="AM36" t="str">
        <f t="shared" si="6"/>
        <v>Durham</v>
      </c>
      <c r="AN36">
        <f t="shared" si="7"/>
        <v>96.15384615384616</v>
      </c>
      <c r="AP36" s="5" t="str">
        <f>IF(L36="","",VLOOKUP($L36,classifications!$C:$E,3,FALSE))</f>
        <v>NE</v>
      </c>
      <c r="AQ36" s="42" t="str">
        <f t="shared" si="30"/>
        <v/>
      </c>
      <c r="AR36" s="39" t="str">
        <f>IF(AQ36="","",IF(I$8="A",(RANK(AQ36,AQ$11:AQ$333,1)+COUNTIF(AQ$11:AQ36,AQ36)-1),(RANK(AQ36,AQ$11:AQ$333)+COUNTIF(AQ$11:AQ36,AQ36)-1)))</f>
        <v/>
      </c>
      <c r="AS36" s="3" t="str">
        <f t="shared" si="18"/>
        <v/>
      </c>
      <c r="AT36" s="39" t="str">
        <f t="shared" si="8"/>
        <v/>
      </c>
      <c r="AU36" s="42" t="str">
        <f t="shared" si="9"/>
        <v/>
      </c>
      <c r="AX36">
        <f>HLOOKUP($AX$9&amp;$AX$10,Data!$A$1:$ZT$1975,(MATCH($C36,Data!$A$1:$A$1975,0)),FALSE)</f>
        <v>88.888888888888886</v>
      </c>
    </row>
    <row r="37" spans="1:50">
      <c r="A37" s="55" t="str">
        <f>$D$1&amp;27</f>
        <v>UA27</v>
      </c>
      <c r="B37" s="56">
        <f>IF(ISERROR(VLOOKUP(A37,classifications!A:C,3,FALSE)),0,VLOOKUP(A37,classifications!A:C,3,FALSE))</f>
        <v>0</v>
      </c>
      <c r="C37" t="s">
        <v>225</v>
      </c>
      <c r="D37" t="str">
        <f>VLOOKUP($C37,classifications!$C:$J,4,FALSE)</f>
        <v>MD</v>
      </c>
      <c r="E37">
        <f>VLOOKUP(C37,classifications!C:K,9,FALSE)</f>
        <v>0</v>
      </c>
      <c r="F37">
        <f t="shared" si="0"/>
        <v>100</v>
      </c>
      <c r="G37" s="15"/>
      <c r="H37" s="41" t="str">
        <f t="shared" si="1"/>
        <v/>
      </c>
      <c r="I37" s="73" t="str">
        <f>IF(H37="","",IF($I$8="A",(RANK(H37,H$11:H$333,1)+COUNTIF(H$11:H37,H37)-1),(RANK(H37,H$11:H$333)+COUNTIF(H$11:H37,H37)-1)))</f>
        <v/>
      </c>
      <c r="J37" s="40"/>
      <c r="K37" s="35">
        <f t="shared" si="10"/>
        <v>27</v>
      </c>
      <c r="L37" t="str">
        <f t="shared" si="2"/>
        <v>Wiltshire</v>
      </c>
      <c r="M37" s="109">
        <f t="shared" si="3"/>
        <v>96</v>
      </c>
      <c r="N37" s="104">
        <f t="shared" si="19"/>
        <v>96</v>
      </c>
      <c r="O37" s="89" t="str">
        <f t="shared" si="20"/>
        <v/>
      </c>
      <c r="P37" s="89">
        <f t="shared" si="21"/>
        <v>96</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 xml:space="preserve">Predominantly Rural </v>
      </c>
      <c r="Y37">
        <f t="shared" si="26"/>
        <v>96</v>
      </c>
      <c r="Z37" s="39">
        <f>IF(Y37="","",IF(I$8="A",(RANK(Y37,Y$11:Y$333,1)+COUNTIF(Y$11:Y37,Y37)-1),(RANK(Y37,Y$11:Y$333)+COUNTIF(Y$11:Y37,Y37)-1)))</f>
        <v>6</v>
      </c>
      <c r="AA37" s="177" t="str">
        <f>IF(L37="","",VLOOKUP($L37,classifications!C:I,7,FALSE))</f>
        <v>Predominantly Rural</v>
      </c>
      <c r="AB37" s="173" t="str">
        <f t="shared" si="27"/>
        <v/>
      </c>
      <c r="AC37" s="173" t="str">
        <f>IF(AB37="","",IF($I$8="A",(RANK(AB37,AB$11:AB$333)+COUNTIF(AB$11:AB37,AB37)-1),(RANK(AB37,AB$11:AB$333,1)+COUNTIF(AB$11:AB37,AB37)-1)))</f>
        <v/>
      </c>
      <c r="AD37" s="173"/>
      <c r="AE37" s="45">
        <f>IF(I$8="A",(RANK(AG37,AG$11:AG$333,1)+COUNTIF(AG$11:AG37,AG37)-1),(RANK(AG37,AG$11:AG$333)+COUNTIF(AG$11:AG37,AG37)-1))</f>
        <v>26</v>
      </c>
      <c r="AF37" t="str">
        <f>VLOOKUP(Profile!$J$5,Families!$C:$R,2,FALSE)</f>
        <v>Cheshire West &amp; Chester</v>
      </c>
      <c r="AG37" s="15">
        <f t="shared" si="15"/>
        <v>100</v>
      </c>
      <c r="AH37" s="46">
        <f t="shared" si="28"/>
        <v>26</v>
      </c>
      <c r="AI37" s="5" t="str">
        <f>IF(L37="","",VLOOKUP($L37,classifications!$C:$J,8,FALSE))</f>
        <v>Unitary</v>
      </c>
      <c r="AJ37" s="42">
        <f t="shared" si="29"/>
        <v>96</v>
      </c>
      <c r="AK37" s="39">
        <f>IF(AJ37="","",IF(I$8="A",(RANK(AJ37,AJ$11:AJ$333,1)+COUNTIF(AJ$11:AJ37,AJ37)-1),(RANK(AJ37,AJ$11:AJ$333)+COUNTIF(AJ$11:AJ37,AJ37)-1)))</f>
        <v>27</v>
      </c>
      <c r="AL37" s="3">
        <f t="shared" si="16"/>
        <v>27</v>
      </c>
      <c r="AM37" t="str">
        <f t="shared" si="6"/>
        <v>Wiltshire</v>
      </c>
      <c r="AN37">
        <f t="shared" si="7"/>
        <v>96</v>
      </c>
      <c r="AP37" s="5" t="str">
        <f>IF(L37="","",VLOOKUP($L37,classifications!$C:$E,3,FALSE))</f>
        <v>South West</v>
      </c>
      <c r="AQ37" s="42" t="str">
        <f t="shared" si="30"/>
        <v/>
      </c>
      <c r="AR37" s="39" t="str">
        <f>IF(AQ37="","",IF(I$8="A",(RANK(AQ37,AQ$11:AQ$333,1)+COUNTIF(AQ$11:AQ37,AQ37)-1),(RANK(AQ37,AQ$11:AQ$333)+COUNTIF(AQ$11:AQ37,AQ37)-1)))</f>
        <v/>
      </c>
      <c r="AS37" s="3" t="str">
        <f t="shared" si="18"/>
        <v/>
      </c>
      <c r="AT37" s="39" t="str">
        <f t="shared" si="8"/>
        <v/>
      </c>
      <c r="AU37" s="42" t="str">
        <f t="shared" si="9"/>
        <v/>
      </c>
      <c r="AX37">
        <f>HLOOKUP($AX$9&amp;$AX$10,Data!$A$1:$ZT$1975,(MATCH($C37,Data!$A$1:$A$1975,0)),FALSE)</f>
        <v>100</v>
      </c>
    </row>
    <row r="38" spans="1:50">
      <c r="A38" s="55" t="str">
        <f>$D$1&amp;28</f>
        <v>UA28</v>
      </c>
      <c r="B38" s="56">
        <f>IF(ISERROR(VLOOKUP(A38,classifications!A:C,3,FALSE)),0,VLOOKUP(A38,classifications!A:C,3,FALSE))</f>
        <v>0</v>
      </c>
      <c r="C38" t="s">
        <v>19</v>
      </c>
      <c r="D38" t="str">
        <f>VLOOKUP($C38,classifications!$C:$J,4,FALSE)</f>
        <v>SD</v>
      </c>
      <c r="E38" t="str">
        <f>VLOOKUP(C38,classifications!C:K,9,FALSE)</f>
        <v>Sparse</v>
      </c>
      <c r="F38">
        <f t="shared" si="0"/>
        <v>80</v>
      </c>
      <c r="G38" s="15"/>
      <c r="H38" s="41" t="str">
        <f t="shared" si="1"/>
        <v/>
      </c>
      <c r="I38" s="73" t="str">
        <f>IF(H38="","",IF($I$8="A",(RANK(H38,H$11:H$333,1)+COUNTIF(H$11:H38,H38)-1),(RANK(H38,H$11:H$333)+COUNTIF(H$11:H38,H38)-1)))</f>
        <v/>
      </c>
      <c r="J38" s="40"/>
      <c r="K38" s="35">
        <f t="shared" si="10"/>
        <v>28</v>
      </c>
      <c r="L38" t="str">
        <f t="shared" si="2"/>
        <v>Herefordshire</v>
      </c>
      <c r="M38" s="109">
        <f t="shared" si="3"/>
        <v>92.307692307692307</v>
      </c>
      <c r="N38" s="104">
        <f t="shared" si="19"/>
        <v>92.307692307692307</v>
      </c>
      <c r="O38" s="89" t="str">
        <f t="shared" si="20"/>
        <v/>
      </c>
      <c r="P38" s="89">
        <f t="shared" si="21"/>
        <v>92.307692307692307</v>
      </c>
      <c r="Q38" s="89" t="str">
        <f t="shared" si="22"/>
        <v/>
      </c>
      <c r="R38" s="85" t="str">
        <f t="shared" si="23"/>
        <v/>
      </c>
      <c r="S38" s="41" t="str">
        <f t="shared" si="24"/>
        <v/>
      </c>
      <c r="T38" s="166" t="str">
        <f>IF(L38="","",VLOOKUP(L38,classifications!C:K,9,FALSE))</f>
        <v>Sparse</v>
      </c>
      <c r="U38" s="167">
        <f t="shared" si="25"/>
        <v>92.307692307692307</v>
      </c>
      <c r="V38" s="173">
        <f>IF(U38="","",IF($I$8="A",(RANK(U38,U$11:U$333)+COUNTIF(U$11:U38,U38)-1),(RANK(U38,U$11:U$333,1)+COUNTIF(U$11:U38,U38)-1)))</f>
        <v>14</v>
      </c>
      <c r="W38" s="174"/>
      <c r="X38" s="5" t="str">
        <f>IF(L38="","",VLOOKUP($L38,classifications!$C:$J,6,FALSE))</f>
        <v xml:space="preserve">Predominantly Rural </v>
      </c>
      <c r="Y38">
        <f t="shared" si="26"/>
        <v>92.307692307692307</v>
      </c>
      <c r="Z38" s="39">
        <f>IF(Y38="","",IF(I$8="A",(RANK(Y38,Y$11:Y$333,1)+COUNTIF(Y$11:Y38,Y38)-1),(RANK(Y38,Y$11:Y$333)+COUNTIF(Y$11:Y38,Y38)-1)))</f>
        <v>7</v>
      </c>
      <c r="AA38" s="177" t="str">
        <f>IF(L38="","",VLOOKUP($L38,classifications!C:I,7,FALSE))</f>
        <v>Predominantly Rural</v>
      </c>
      <c r="AB38" s="173" t="str">
        <f t="shared" si="27"/>
        <v/>
      </c>
      <c r="AC38" s="173" t="str">
        <f>IF(AB38="","",IF($I$8="A",(RANK(AB38,AB$11:AB$333)+COUNTIF(AB$11:AB38,AB38)-1),(RANK(AB38,AB$11:AB$333,1)+COUNTIF(AB$11:AB38,AB38)-1)))</f>
        <v/>
      </c>
      <c r="AD38" s="173"/>
      <c r="AE38" s="45">
        <f>IF(I$8="A",(RANK(AG38,AG$11:AG$333,1)+COUNTIF(AG$11:AG38,AG38)-1),(RANK(AG38,AG$11:AG$333)+COUNTIF(AG$11:AG38,AG38)-1))</f>
        <v>27</v>
      </c>
      <c r="AF38" t="str">
        <f>VLOOKUP(Profile!$J$5,Families!$C:$R,2,FALSE)</f>
        <v>Cheshire West &amp; Chester</v>
      </c>
      <c r="AG38" s="15">
        <f t="shared" si="15"/>
        <v>100</v>
      </c>
      <c r="AH38" s="46">
        <f t="shared" si="28"/>
        <v>27</v>
      </c>
      <c r="AI38" s="5" t="str">
        <f>IF(L38="","",VLOOKUP($L38,classifications!$C:$J,8,FALSE))</f>
        <v>Unitary</v>
      </c>
      <c r="AJ38" s="42">
        <f t="shared" si="29"/>
        <v>92.307692307692307</v>
      </c>
      <c r="AK38" s="39">
        <f>IF(AJ38="","",IF(I$8="A",(RANK(AJ38,AJ$11:AJ$333,1)+COUNTIF(AJ$11:AJ38,AJ38)-1),(RANK(AJ38,AJ$11:AJ$333)+COUNTIF(AJ$11:AJ38,AJ38)-1)))</f>
        <v>28</v>
      </c>
      <c r="AL38" s="3">
        <f t="shared" si="16"/>
        <v>28</v>
      </c>
      <c r="AM38" t="str">
        <f t="shared" si="6"/>
        <v>Herefordshire</v>
      </c>
      <c r="AN38">
        <f t="shared" si="7"/>
        <v>92.307692307692307</v>
      </c>
      <c r="AP38" s="5" t="str">
        <f>IF(L38="","",VLOOKUP($L38,classifications!$C:$E,3,FALSE))</f>
        <v>West Midlands</v>
      </c>
      <c r="AQ38" s="42" t="str">
        <f t="shared" si="30"/>
        <v/>
      </c>
      <c r="AR38" s="39" t="str">
        <f>IF(AQ38="","",IF(I$8="A",(RANK(AQ38,AQ$11:AQ$333,1)+COUNTIF(AQ$11:AQ38,AQ38)-1),(RANK(AQ38,AQ$11:AQ$333)+COUNTIF(AQ$11:AQ38,AQ38)-1)))</f>
        <v/>
      </c>
      <c r="AS38" s="3" t="str">
        <f t="shared" si="18"/>
        <v/>
      </c>
      <c r="AT38" s="39" t="str">
        <f t="shared" si="8"/>
        <v/>
      </c>
      <c r="AU38" s="42" t="str">
        <f t="shared" si="9"/>
        <v/>
      </c>
      <c r="AX38">
        <f>HLOOKUP($AX$9&amp;$AX$10,Data!$A$1:$ZT$1975,(MATCH($C38,Data!$A$1:$A$1975,0)),FALSE)</f>
        <v>80</v>
      </c>
    </row>
    <row r="39" spans="1:50">
      <c r="A39" s="55" t="str">
        <f>$D$1&amp;29</f>
        <v>UA29</v>
      </c>
      <c r="B39" s="56">
        <f>IF(ISERROR(VLOOKUP(A39,classifications!A:C,3,FALSE)),0,VLOOKUP(A39,classifications!A:C,3,FALSE))</f>
        <v>0</v>
      </c>
      <c r="C39" t="s">
        <v>20</v>
      </c>
      <c r="D39" t="str">
        <f>VLOOKUP($C39,classifications!$C:$J,4,FALSE)</f>
        <v>SD</v>
      </c>
      <c r="E39">
        <f>VLOOKUP(C39,classifications!C:K,9,FALSE)</f>
        <v>0</v>
      </c>
      <c r="F39">
        <f t="shared" si="0"/>
        <v>84.615384615384613</v>
      </c>
      <c r="G39" s="15"/>
      <c r="H39" s="41" t="str">
        <f t="shared" si="1"/>
        <v/>
      </c>
      <c r="I39" s="73" t="str">
        <f>IF(H39="","",IF($I$8="A",(RANK(H39,H$11:H$333,1)+COUNTIF(H$11:H39,H39)-1),(RANK(H39,H$11:H$333)+COUNTIF(H$11:H39,H39)-1)))</f>
        <v/>
      </c>
      <c r="J39" s="40"/>
      <c r="K39" s="35">
        <f t="shared" si="10"/>
        <v>29</v>
      </c>
      <c r="L39" t="str">
        <f t="shared" si="2"/>
        <v>Peterborough</v>
      </c>
      <c r="M39" s="109">
        <f t="shared" si="3"/>
        <v>91.666666666666657</v>
      </c>
      <c r="N39" s="104">
        <f t="shared" si="19"/>
        <v>91.666666666666657</v>
      </c>
      <c r="O39" s="89" t="str">
        <f t="shared" si="20"/>
        <v/>
      </c>
      <c r="P39" s="89">
        <f t="shared" si="21"/>
        <v>91.666666666666657</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f>IF(I$8="A",(RANK(AG39,AG$11:AG$333,1)+COUNTIF(AG$11:AG39,AG39)-1),(RANK(AG39,AG$11:AG$333)+COUNTIF(AG$11:AG39,AG39)-1))</f>
        <v>28</v>
      </c>
      <c r="AF39" t="str">
        <f>VLOOKUP(Profile!$J$5,Families!$C:$R,2,FALSE)</f>
        <v>Cheshire West &amp; Chester</v>
      </c>
      <c r="AG39" s="15">
        <f t="shared" si="15"/>
        <v>100</v>
      </c>
      <c r="AH39" s="46">
        <f t="shared" si="28"/>
        <v>28</v>
      </c>
      <c r="AI39" s="5" t="str">
        <f>IF(L39="","",VLOOKUP($L39,classifications!$C:$J,8,FALSE))</f>
        <v>Unitary</v>
      </c>
      <c r="AJ39" s="42">
        <f t="shared" si="29"/>
        <v>91.666666666666657</v>
      </c>
      <c r="AK39" s="39">
        <f>IF(AJ39="","",IF(I$8="A",(RANK(AJ39,AJ$11:AJ$333,1)+COUNTIF(AJ$11:AJ39,AJ39)-1),(RANK(AJ39,AJ$11:AJ$333)+COUNTIF(AJ$11:AJ39,AJ39)-1)))</f>
        <v>29</v>
      </c>
      <c r="AL39" s="3">
        <f t="shared" si="16"/>
        <v>29</v>
      </c>
      <c r="AM39" t="str">
        <f t="shared" si="6"/>
        <v>Peterborough</v>
      </c>
      <c r="AN39">
        <f t="shared" si="7"/>
        <v>91.666666666666657</v>
      </c>
      <c r="AP39" s="5" t="str">
        <f>IF(L39="","",VLOOKUP($L39,classifications!$C:$E,3,FALSE))</f>
        <v>East of England</v>
      </c>
      <c r="AQ39" s="42" t="str">
        <f t="shared" si="30"/>
        <v/>
      </c>
      <c r="AR39" s="39" t="str">
        <f>IF(AQ39="","",IF(I$8="A",(RANK(AQ39,AQ$11:AQ$333,1)+COUNTIF(AQ$11:AQ39,AQ39)-1),(RANK(AQ39,AQ$11:AQ$333)+COUNTIF(AQ$11:AQ39,AQ39)-1)))</f>
        <v/>
      </c>
      <c r="AS39" s="3" t="str">
        <f t="shared" si="18"/>
        <v/>
      </c>
      <c r="AT39" s="39" t="str">
        <f t="shared" si="8"/>
        <v/>
      </c>
      <c r="AU39" s="42" t="str">
        <f t="shared" si="9"/>
        <v/>
      </c>
      <c r="AX39">
        <f>HLOOKUP($AX$9&amp;$AX$10,Data!$A$1:$ZT$1975,(MATCH($C39,Data!$A$1:$A$1975,0)),FALSE)</f>
        <v>84.615384615384613</v>
      </c>
    </row>
    <row r="40" spans="1:50">
      <c r="A40" s="55" t="str">
        <f>$D$1&amp;30</f>
        <v>UA30</v>
      </c>
      <c r="B40" s="56">
        <f>IF(ISERROR(VLOOKUP(A40,classifications!A:C,3,FALSE)),0,VLOOKUP(A40,classifications!A:C,3,FALSE))</f>
        <v>0</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South Gloucestershire</v>
      </c>
      <c r="M40" s="109">
        <f t="shared" si="3"/>
        <v>91.666666666666657</v>
      </c>
      <c r="N40" s="104">
        <f t="shared" si="19"/>
        <v>91.666666666666657</v>
      </c>
      <c r="O40" s="89" t="str">
        <f t="shared" si="20"/>
        <v/>
      </c>
      <c r="P40" s="89">
        <f t="shared" si="21"/>
        <v>91.666666666666657</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Predominantly Urban</v>
      </c>
      <c r="Y40" t="str">
        <f t="shared" si="26"/>
        <v/>
      </c>
      <c r="Z40" s="39" t="str">
        <f>IF(Y40="","",IF(I$8="A",(RANK(Y40,Y$11:Y$333,1)+COUNTIF(Y$11:Y40,Y40)-1),(RANK(Y40,Y$11:Y$333)+COUNTIF(Y$11:Y40,Y40)-1)))</f>
        <v/>
      </c>
      <c r="AA40" s="177" t="str">
        <f>IF(L40="","",VLOOKUP($L40,classifications!C:I,7,FALSE))</f>
        <v>Predominantly Urban</v>
      </c>
      <c r="AB40" s="173" t="str">
        <f t="shared" si="27"/>
        <v/>
      </c>
      <c r="AC40" s="173" t="str">
        <f>IF(AB40="","",IF($I$8="A",(RANK(AB40,AB$11:AB$333)+COUNTIF(AB$11:AB40,AB40)-1),(RANK(AB40,AB$11:AB$333,1)+COUNTIF(AB$11:AB40,AB40)-1)))</f>
        <v/>
      </c>
      <c r="AD40" s="173"/>
      <c r="AE40" s="45">
        <f>IF(I$8="A",(RANK(AG40,AG$11:AG$333,1)+COUNTIF(AG$11:AG40,AG40)-1),(RANK(AG40,AG$11:AG$333)+COUNTIF(AG$11:AG40,AG40)-1))</f>
        <v>29</v>
      </c>
      <c r="AF40" t="str">
        <f>VLOOKUP(Profile!$J$5,Families!$C:$R,2,FALSE)</f>
        <v>Cheshire West &amp; Chester</v>
      </c>
      <c r="AG40" s="15">
        <f t="shared" si="15"/>
        <v>100</v>
      </c>
      <c r="AH40" s="46">
        <f t="shared" si="28"/>
        <v>29</v>
      </c>
      <c r="AI40" s="5" t="str">
        <f>IF(L40="","",VLOOKUP($L40,classifications!$C:$J,8,FALSE))</f>
        <v>Unitary</v>
      </c>
      <c r="AJ40" s="42">
        <f t="shared" si="29"/>
        <v>91.666666666666657</v>
      </c>
      <c r="AK40" s="39">
        <f>IF(AJ40="","",IF(I$8="A",(RANK(AJ40,AJ$11:AJ$333,1)+COUNTIF(AJ$11:AJ40,AJ40)-1),(RANK(AJ40,AJ$11:AJ$333)+COUNTIF(AJ$11:AJ40,AJ40)-1)))</f>
        <v>30</v>
      </c>
      <c r="AL40" s="3">
        <f t="shared" si="16"/>
        <v>30</v>
      </c>
      <c r="AM40" t="str">
        <f t="shared" si="6"/>
        <v>South Gloucestershire</v>
      </c>
      <c r="AN40">
        <f t="shared" si="7"/>
        <v>91.666666666666657</v>
      </c>
      <c r="AP40" s="5" t="str">
        <f>IF(L40="","",VLOOKUP($L40,classifications!$C:$E,3,FALSE))</f>
        <v>South West</v>
      </c>
      <c r="AQ40" s="42" t="str">
        <f t="shared" si="30"/>
        <v/>
      </c>
      <c r="AR40" s="39" t="str">
        <f>IF(AQ40="","",IF(I$8="A",(RANK(AQ40,AQ$11:AQ$333,1)+COUNTIF(AQ$11:AQ40,AQ40)-1),(RANK(AQ40,AQ$11:AQ$333)+COUNTIF(AQ$11:AQ40,AQ40)-1)))</f>
        <v/>
      </c>
      <c r="AS40" s="3" t="str">
        <f t="shared" si="18"/>
        <v/>
      </c>
      <c r="AT40" s="39" t="str">
        <f t="shared" si="8"/>
        <v/>
      </c>
      <c r="AU40" s="42" t="str">
        <f t="shared" si="9"/>
        <v/>
      </c>
      <c r="AX40">
        <f>HLOOKUP($AX$9&amp;$AX$10,Data!$A$1:$ZT$1975,(MATCH($C40,Data!$A$1:$A$1975,0)),FALSE)</f>
        <v>100</v>
      </c>
    </row>
    <row r="41" spans="1:50">
      <c r="A41" s="55" t="str">
        <f>$D$1&amp;31</f>
        <v>UA31</v>
      </c>
      <c r="B41" s="56">
        <f>IF(ISERROR(VLOOKUP(A41,classifications!A:C,3,FALSE)),0,VLOOKUP(A41,classifications!A:C,3,FALSE))</f>
        <v>0</v>
      </c>
      <c r="C41" t="s">
        <v>21</v>
      </c>
      <c r="D41" t="str">
        <f>VLOOKUP($C41,classifications!$C:$J,4,FALSE)</f>
        <v>SD</v>
      </c>
      <c r="E41">
        <f>VLOOKUP(C41,classifications!C:K,9,FALSE)</f>
        <v>0</v>
      </c>
      <c r="F41">
        <f t="shared" si="0"/>
        <v>100</v>
      </c>
      <c r="G41" s="15"/>
      <c r="H41" s="41" t="str">
        <f t="shared" si="1"/>
        <v/>
      </c>
      <c r="I41" s="73" t="str">
        <f>IF(H41="","",IF($I$8="A",(RANK(H41,H$11:H$333,1)+COUNTIF(H$11:H41,H41)-1),(RANK(H41,H$11:H$333)+COUNTIF(H$11:H41,H41)-1)))</f>
        <v/>
      </c>
      <c r="J41" s="40"/>
      <c r="K41" s="35">
        <f t="shared" si="10"/>
        <v>31</v>
      </c>
      <c r="L41" t="str">
        <f t="shared" si="2"/>
        <v>North Yorkshire</v>
      </c>
      <c r="M41" s="109">
        <f t="shared" si="3"/>
        <v>91.044776119402982</v>
      </c>
      <c r="N41" s="104">
        <f t="shared" si="19"/>
        <v>91.044776119402982</v>
      </c>
      <c r="O41" s="89" t="str">
        <f t="shared" si="20"/>
        <v/>
      </c>
      <c r="P41" s="89">
        <f t="shared" si="21"/>
        <v>91.044776119402982</v>
      </c>
      <c r="Q41" s="89" t="str">
        <f t="shared" si="22"/>
        <v/>
      </c>
      <c r="R41" s="85" t="str">
        <f t="shared" si="23"/>
        <v/>
      </c>
      <c r="S41" s="41" t="str">
        <f t="shared" si="24"/>
        <v/>
      </c>
      <c r="T41" s="166" t="str">
        <f>IF(L41="","",VLOOKUP(L41,classifications!C:K,9,FALSE))</f>
        <v>Sparse</v>
      </c>
      <c r="U41" s="167">
        <f t="shared" si="25"/>
        <v>91.044776119402982</v>
      </c>
      <c r="V41" s="173">
        <f>IF(U41="","",IF($I$8="A",(RANK(U41,U$11:U$333)+COUNTIF(U$11:U41,U41)-1),(RANK(U41,U$11:U$333,1)+COUNTIF(U$11:U41,U41)-1)))</f>
        <v>13</v>
      </c>
      <c r="W41" s="174"/>
      <c r="X41" s="5" t="str">
        <f>IF(L41="","",VLOOKUP($L41,classifications!$C:$J,6,FALSE))</f>
        <v>Predominantly Rural</v>
      </c>
      <c r="Y41" t="str">
        <f t="shared" si="26"/>
        <v/>
      </c>
      <c r="Z41" s="39" t="str">
        <f>IF(Y41="","",IF(I$8="A",(RANK(Y41,Y$11:Y$333,1)+COUNTIF(Y$11:Y41,Y41)-1),(RANK(Y41,Y$11:Y$333)+COUNTIF(Y$11:Y41,Y41)-1)))</f>
        <v/>
      </c>
      <c r="AA41" s="177" t="str">
        <f>IF(L41="","",VLOOKUP($L41,classifications!C:I,7,FALSE))</f>
        <v>Predominantly Rural</v>
      </c>
      <c r="AB41" s="173" t="str">
        <f t="shared" si="27"/>
        <v/>
      </c>
      <c r="AC41" s="173" t="str">
        <f>IF(AB41="","",IF($I$8="A",(RANK(AB41,AB$11:AB$333)+COUNTIF(AB$11:AB41,AB41)-1),(RANK(AB41,AB$11:AB$333,1)+COUNTIF(AB$11:AB41,AB41)-1)))</f>
        <v/>
      </c>
      <c r="AD41" s="173"/>
      <c r="AE41" s="45">
        <f>IF(I$8="A",(RANK(AG41,AG$11:AG$333,1)+COUNTIF(AG$11:AG41,AG41)-1),(RANK(AG41,AG$11:AG$333)+COUNTIF(AG$11:AG41,AG41)-1))</f>
        <v>30</v>
      </c>
      <c r="AF41" t="str">
        <f>VLOOKUP(Profile!$J$5,Families!$C:$R,2,FALSE)</f>
        <v>Cheshire West &amp; Chester</v>
      </c>
      <c r="AG41" s="15">
        <f t="shared" si="15"/>
        <v>100</v>
      </c>
      <c r="AH41" s="46">
        <f t="shared" si="28"/>
        <v>30</v>
      </c>
      <c r="AI41" s="5" t="str">
        <f>IF(L41="","",VLOOKUP($L41,classifications!$C:$J,8,FALSE))</f>
        <v>Unitary</v>
      </c>
      <c r="AJ41" s="42">
        <f t="shared" si="29"/>
        <v>91.044776119402982</v>
      </c>
      <c r="AK41" s="39">
        <f>IF(AJ41="","",IF(I$8="A",(RANK(AJ41,AJ$11:AJ$333,1)+COUNTIF(AJ$11:AJ41,AJ41)-1),(RANK(AJ41,AJ$11:AJ$333)+COUNTIF(AJ$11:AJ41,AJ41)-1)))</f>
        <v>31</v>
      </c>
      <c r="AL41" s="3">
        <f t="shared" si="16"/>
        <v>31</v>
      </c>
      <c r="AM41" t="str">
        <f t="shared" si="6"/>
        <v>North Yorkshire</v>
      </c>
      <c r="AN41">
        <f t="shared" si="7"/>
        <v>91.044776119402982</v>
      </c>
      <c r="AP41" s="5" t="str">
        <f>IF(L41="","",VLOOKUP($L41,classifications!$C:$E,3,FALSE))</f>
        <v>Yorkshire &amp; Humberside</v>
      </c>
      <c r="AQ41" s="42" t="str">
        <f t="shared" si="30"/>
        <v/>
      </c>
      <c r="AR41" s="39" t="str">
        <f>IF(AQ41="","",IF(I$8="A",(RANK(AQ41,AQ$11:AQ$333,1)+COUNTIF(AQ$11:AQ41,AQ41)-1),(RANK(AQ41,AQ$11:AQ$333)+COUNTIF(AQ$11:AQ41,AQ41)-1)))</f>
        <v/>
      </c>
      <c r="AS41" s="3" t="str">
        <f t="shared" si="18"/>
        <v/>
      </c>
      <c r="AT41" s="39" t="str">
        <f t="shared" si="8"/>
        <v/>
      </c>
      <c r="AU41" s="42" t="str">
        <f t="shared" si="9"/>
        <v/>
      </c>
      <c r="AX41">
        <f>HLOOKUP($AX$9&amp;$AX$10,Data!$A$1:$ZT$1975,(MATCH($C41,Data!$A$1:$A$1975,0)),FALSE)</f>
        <v>100</v>
      </c>
    </row>
    <row r="42" spans="1:50">
      <c r="A42" s="55" t="str">
        <f>$D$1&amp;32</f>
        <v>UA32</v>
      </c>
      <c r="B42" s="56">
        <f>IF(ISERROR(VLOOKUP(A42,classifications!A:C,3,FALSE)),0,VLOOKUP(A42,classifications!A:C,3,FALSE))</f>
        <v>0</v>
      </c>
      <c r="C42" t="s">
        <v>812</v>
      </c>
      <c r="D42" t="str">
        <f>VLOOKUP($C42,classifications!$C:$J,4,FALSE)</f>
        <v>UA</v>
      </c>
      <c r="E42">
        <f>VLOOKUP(C42,classifications!C:K,9,FALSE)</f>
        <v>0</v>
      </c>
      <c r="F42">
        <f t="shared" si="0"/>
        <v>100</v>
      </c>
      <c r="G42" s="15"/>
      <c r="H42" s="41">
        <f t="shared" si="1"/>
        <v>100</v>
      </c>
      <c r="I42" s="73">
        <f>IF(H42="","",IF($I$8="A",(RANK(H42,H$11:H$333,1)+COUNTIF(H$11:H42,H42)-1),(RANK(H42,H$11:H$333)+COUNTIF(H$11:H42,H42)-1)))</f>
        <v>4</v>
      </c>
      <c r="J42" s="40"/>
      <c r="K42" s="35">
        <f t="shared" si="10"/>
        <v>32</v>
      </c>
      <c r="L42" t="str">
        <f t="shared" si="2"/>
        <v>Westmorland &amp; Furness</v>
      </c>
      <c r="M42" s="109">
        <f t="shared" si="3"/>
        <v>90.909090909090907</v>
      </c>
      <c r="N42" s="104">
        <f t="shared" si="19"/>
        <v>90.909090909090907</v>
      </c>
      <c r="O42" s="89" t="str">
        <f t="shared" si="20"/>
        <v/>
      </c>
      <c r="P42" s="89" t="str">
        <f t="shared" si="21"/>
        <v/>
      </c>
      <c r="Q42" s="89">
        <f t="shared" si="22"/>
        <v>90.909090909090907</v>
      </c>
      <c r="R42" s="85" t="str">
        <f t="shared" si="23"/>
        <v/>
      </c>
      <c r="S42" s="41" t="str">
        <f t="shared" si="24"/>
        <v/>
      </c>
      <c r="T42" s="166" t="str">
        <f>IF(L42="","",VLOOKUP(L42,classifications!C:K,9,FALSE))</f>
        <v>Sparse</v>
      </c>
      <c r="U42" s="167">
        <f t="shared" si="25"/>
        <v>90.909090909090907</v>
      </c>
      <c r="V42" s="173">
        <f>IF(U42="","",IF($I$8="A",(RANK(U42,U$11:U$333)+COUNTIF(U$11:U42,U42)-1),(RANK(U42,U$11:U$333,1)+COUNTIF(U$11:U42,U42)-1)))</f>
        <v>10</v>
      </c>
      <c r="W42" s="174"/>
      <c r="X42" s="5" t="str">
        <f>IF(L42="","",VLOOKUP($L42,classifications!$C:$J,6,FALSE))</f>
        <v xml:space="preserve">Predominantly Rural </v>
      </c>
      <c r="Y42">
        <f t="shared" si="26"/>
        <v>90.909090909090907</v>
      </c>
      <c r="Z42" s="39">
        <f>IF(Y42="","",IF(I$8="A",(RANK(Y42,Y$11:Y$333,1)+COUNTIF(Y$11:Y42,Y42)-1),(RANK(Y42,Y$11:Y$333)+COUNTIF(Y$11:Y42,Y42)-1)))</f>
        <v>8</v>
      </c>
      <c r="AA42" s="177" t="str">
        <f>IF(L42="","",VLOOKUP($L42,classifications!C:I,7,FALSE))</f>
        <v>Predominantly Rural</v>
      </c>
      <c r="AB42" s="173" t="str">
        <f t="shared" si="27"/>
        <v/>
      </c>
      <c r="AC42" s="173" t="str">
        <f>IF(AB42="","",IF($I$8="A",(RANK(AB42,AB$11:AB$333)+COUNTIF(AB$11:AB42,AB42)-1),(RANK(AB42,AB$11:AB$333,1)+COUNTIF(AB$11:AB42,AB42)-1)))</f>
        <v/>
      </c>
      <c r="AD42" s="173"/>
      <c r="AE42" s="45">
        <f>IF(I$8="A",(RANK(AG42,AG$11:AG$333,1)+COUNTIF(AG$11:AG42,AG42)-1),(RANK(AG42,AG$11:AG$333)+COUNTIF(AG$11:AG42,AG42)-1))</f>
        <v>31</v>
      </c>
      <c r="AF42" t="str">
        <f>VLOOKUP(Profile!$J$5,Families!$C:$R,2,FALSE)</f>
        <v>Cheshire West &amp; Chester</v>
      </c>
      <c r="AG42" s="15">
        <f t="shared" si="15"/>
        <v>100</v>
      </c>
      <c r="AH42" s="46">
        <f t="shared" si="28"/>
        <v>31</v>
      </c>
      <c r="AI42" s="5" t="str">
        <f>IF(L42="","",VLOOKUP($L42,classifications!$C:$J,8,FALSE))</f>
        <v>Unitary</v>
      </c>
      <c r="AJ42" s="42">
        <f t="shared" si="29"/>
        <v>90.909090909090907</v>
      </c>
      <c r="AK42" s="39">
        <f>IF(AJ42="","",IF(I$8="A",(RANK(AJ42,AJ$11:AJ$333,1)+COUNTIF(AJ$11:AJ42,AJ42)-1),(RANK(AJ42,AJ$11:AJ$333)+COUNTIF(AJ$11:AJ42,AJ42)-1)))</f>
        <v>32</v>
      </c>
      <c r="AL42" s="3">
        <f t="shared" si="16"/>
        <v>32</v>
      </c>
      <c r="AM42" t="str">
        <f t="shared" si="6"/>
        <v>Westmorland &amp; Furness</v>
      </c>
      <c r="AN42">
        <f t="shared" si="7"/>
        <v>90.909090909090907</v>
      </c>
      <c r="AP42" s="5" t="str">
        <f>IF(L42="","",VLOOKUP($L42,classifications!$C:$E,3,FALSE))</f>
        <v>North West</v>
      </c>
      <c r="AQ42" s="42">
        <f t="shared" si="30"/>
        <v>90.909090909090907</v>
      </c>
      <c r="AR42" s="39">
        <f>IF(AQ42="","",IF(I$8="A",(RANK(AQ42,AQ$11:AQ$333,1)+COUNTIF(AQ$11:AQ42,AQ42)-1),(RANK(AQ42,AQ$11:AQ$333)+COUNTIF(AQ$11:AQ42,AQ42)-1)))</f>
        <v>5</v>
      </c>
      <c r="AS42" s="3" t="str">
        <f t="shared" si="18"/>
        <v/>
      </c>
      <c r="AT42" s="39" t="str">
        <f t="shared" si="8"/>
        <v/>
      </c>
      <c r="AU42" s="42" t="str">
        <f t="shared" si="9"/>
        <v/>
      </c>
      <c r="AX42">
        <f>HLOOKUP($AX$9&amp;$AX$10,Data!$A$1:$ZT$1975,(MATCH($C42,Data!$A$1:$A$1975,0)),FALSE)</f>
        <v>100</v>
      </c>
    </row>
    <row r="43" spans="1:50">
      <c r="A43" s="55" t="str">
        <f>$D$1&amp;33</f>
        <v>UA33</v>
      </c>
      <c r="B43" s="56">
        <f>IF(ISERROR(VLOOKUP(A43,classifications!A:C,3,FALSE)),0,VLOOKUP(A43,classifications!A:C,3,FALSE))</f>
        <v>0</v>
      </c>
      <c r="C43" t="s">
        <v>816</v>
      </c>
      <c r="D43" t="str">
        <f>VLOOKUP($C43,classifications!$C:$J,4,FALSE)</f>
        <v>UA</v>
      </c>
      <c r="E43">
        <f>VLOOKUP(C43,classifications!C:K,9,FALSE)</f>
        <v>0</v>
      </c>
      <c r="F43">
        <f t="shared" si="0"/>
        <v>87.5</v>
      </c>
      <c r="G43" s="15"/>
      <c r="H43" s="41">
        <f t="shared" si="1"/>
        <v>87.5</v>
      </c>
      <c r="I43" s="73">
        <f>IF(H43="","",IF($I$8="A",(RANK(H43,H$11:H$333,1)+COUNTIF(H$11:H43,H43)-1),(RANK(H43,H$11:H$333)+COUNTIF(H$11:H43,H43)-1)))</f>
        <v>43</v>
      </c>
      <c r="J43" s="40"/>
      <c r="K43" s="35">
        <f t="shared" si="10"/>
        <v>33</v>
      </c>
      <c r="L43" t="str">
        <f t="shared" si="2"/>
        <v>Cheshire East</v>
      </c>
      <c r="M43" s="109">
        <f t="shared" si="3"/>
        <v>90.909090909090907</v>
      </c>
      <c r="N43" s="104">
        <f t="shared" si="19"/>
        <v>90.909090909090907</v>
      </c>
      <c r="O43" s="89" t="str">
        <f t="shared" si="20"/>
        <v/>
      </c>
      <c r="P43" s="89" t="str">
        <f t="shared" si="21"/>
        <v/>
      </c>
      <c r="Q43" s="89">
        <f t="shared" si="22"/>
        <v>90.909090909090907</v>
      </c>
      <c r="R43" s="85" t="str">
        <f t="shared" si="23"/>
        <v/>
      </c>
      <c r="S43" s="41" t="str">
        <f t="shared" si="24"/>
        <v>u</v>
      </c>
      <c r="T43" s="166" t="str">
        <f>IF(L43="","",VLOOKUP(L43,classifications!C:K,9,FALSE))</f>
        <v>Sparse</v>
      </c>
      <c r="U43" s="167">
        <f t="shared" si="25"/>
        <v>90.909090909090907</v>
      </c>
      <c r="V43" s="173">
        <f>IF(U43="","",IF($I$8="A",(RANK(U43,U$11:U$333)+COUNTIF(U$11:U43,U43)-1),(RANK(U43,U$11:U$333,1)+COUNTIF(U$11:U43,U43)-1)))</f>
        <v>11</v>
      </c>
      <c r="W43" s="174"/>
      <c r="X43" s="5" t="str">
        <f>IF(L43="","",VLOOKUP($L43,classifications!$C:$J,6,FALSE))</f>
        <v>Urban with Significant Rural</v>
      </c>
      <c r="Y43">
        <f t="shared" si="26"/>
        <v>90.909090909090907</v>
      </c>
      <c r="Z43" s="39">
        <f>IF(Y43="","",IF(I$8="A",(RANK(Y43,Y$11:Y$333,1)+COUNTIF(Y$11:Y43,Y43)-1),(RANK(Y43,Y$11:Y$333)+COUNTIF(Y$11:Y43,Y43)-1)))</f>
        <v>9</v>
      </c>
      <c r="AA43" s="177" t="str">
        <f>IF(L43="","",VLOOKUP($L43,classifications!C:I,7,FALSE))</f>
        <v>Urban with Significant Rural</v>
      </c>
      <c r="AB43" s="173">
        <f t="shared" si="27"/>
        <v>90.909090909090907</v>
      </c>
      <c r="AC43" s="173">
        <f>IF(AB43="","",IF($I$8="A",(RANK(AB43,AB$11:AB$333)+COUNTIF(AB$11:AB43,AB43)-1),(RANK(AB43,AB$11:AB$333,1)+COUNTIF(AB$11:AB43,AB43)-1)))</f>
        <v>7</v>
      </c>
      <c r="AD43" s="173"/>
      <c r="AE43" s="45">
        <f>IF(I$8="A",(RANK(AG43,AG$11:AG$333,1)+COUNTIF(AG$11:AG43,AG43)-1),(RANK(AG43,AG$11:AG$333)+COUNTIF(AG$11:AG43,AG43)-1))</f>
        <v>32</v>
      </c>
      <c r="AF43" t="str">
        <f>VLOOKUP(Profile!$J$5,Families!$C:$R,2,FALSE)</f>
        <v>Cheshire West &amp; Chester</v>
      </c>
      <c r="AG43" s="15">
        <f t="shared" si="15"/>
        <v>100</v>
      </c>
      <c r="AH43" s="46">
        <f t="shared" si="28"/>
        <v>32</v>
      </c>
      <c r="AI43" s="5" t="str">
        <f>IF(L43="","",VLOOKUP($L43,classifications!$C:$J,8,FALSE))</f>
        <v>Unitary</v>
      </c>
      <c r="AJ43" s="42">
        <f t="shared" si="29"/>
        <v>90.909090909090907</v>
      </c>
      <c r="AK43" s="39">
        <f>IF(AJ43="","",IF(I$8="A",(RANK(AJ43,AJ$11:AJ$333,1)+COUNTIF(AJ$11:AJ43,AJ43)-1),(RANK(AJ43,AJ$11:AJ$333)+COUNTIF(AJ$11:AJ43,AJ43)-1)))</f>
        <v>33</v>
      </c>
      <c r="AL43" s="3">
        <f t="shared" si="16"/>
        <v>33</v>
      </c>
      <c r="AM43" t="str">
        <f t="shared" si="6"/>
        <v>Cheshire East</v>
      </c>
      <c r="AN43">
        <f t="shared" si="7"/>
        <v>90.909090909090907</v>
      </c>
      <c r="AP43" s="5" t="str">
        <f>IF(L43="","",VLOOKUP($L43,classifications!$C:$E,3,FALSE))</f>
        <v>North West</v>
      </c>
      <c r="AQ43" s="42">
        <f t="shared" si="30"/>
        <v>90.909090909090907</v>
      </c>
      <c r="AR43" s="39">
        <f>IF(AQ43="","",IF(I$8="A",(RANK(AQ43,AQ$11:AQ$333,1)+COUNTIF(AQ$11:AQ43,AQ43)-1),(RANK(AQ43,AQ$11:AQ$333)+COUNTIF(AQ$11:AQ43,AQ43)-1)))</f>
        <v>6</v>
      </c>
      <c r="AS43" s="3" t="str">
        <f t="shared" si="18"/>
        <v/>
      </c>
      <c r="AT43" s="39" t="str">
        <f t="shared" si="8"/>
        <v/>
      </c>
      <c r="AU43" s="42" t="str">
        <f t="shared" si="9"/>
        <v/>
      </c>
      <c r="AX43">
        <f>HLOOKUP($AX$9&amp;$AX$10,Data!$A$1:$ZT$1975,(MATCH($C43,Data!$A$1:$A$1975,0)),FALSE)</f>
        <v>87.5</v>
      </c>
    </row>
    <row r="44" spans="1:50">
      <c r="A44" s="55" t="str">
        <f>$D$1&amp;34</f>
        <v>UA34</v>
      </c>
      <c r="B44" s="56">
        <f>IF(ISERROR(VLOOKUP(A44,classifications!A:C,3,FALSE)),0,VLOOKUP(A44,classifications!A:C,3,FALSE))</f>
        <v>0</v>
      </c>
      <c r="C44" t="s">
        <v>22</v>
      </c>
      <c r="D44" t="str">
        <f>VLOOKUP($C44,classifications!$C:$J,4,FALSE)</f>
        <v>SD</v>
      </c>
      <c r="E44">
        <f>VLOOKUP(C44,classifications!C:K,9,FALSE)</f>
        <v>0</v>
      </c>
      <c r="F44">
        <f t="shared" si="0"/>
        <v>90.909090909090907</v>
      </c>
      <c r="G44" s="15"/>
      <c r="H44" s="41" t="str">
        <f t="shared" si="1"/>
        <v/>
      </c>
      <c r="I44" s="73" t="str">
        <f>IF(H44="","",IF($I$8="A",(RANK(H44,H$11:H$333,1)+COUNTIF(H$11:H44,H44)-1),(RANK(H44,H$11:H$333)+COUNTIF(H$11:H44,H44)-1)))</f>
        <v/>
      </c>
      <c r="J44" s="40"/>
      <c r="K44" s="35">
        <f t="shared" si="10"/>
        <v>34</v>
      </c>
      <c r="L44" t="str">
        <f t="shared" si="2"/>
        <v>Isle Of Wight</v>
      </c>
      <c r="M44" s="109">
        <f t="shared" si="3"/>
        <v>90.909090909090907</v>
      </c>
      <c r="N44" s="104">
        <f t="shared" si="19"/>
        <v>90.909090909090907</v>
      </c>
      <c r="O44" s="89" t="str">
        <f t="shared" si="20"/>
        <v/>
      </c>
      <c r="P44" s="89" t="str">
        <f t="shared" si="21"/>
        <v/>
      </c>
      <c r="Q44" s="89">
        <f t="shared" si="22"/>
        <v>90.909090909090907</v>
      </c>
      <c r="R44" s="85" t="str">
        <f t="shared" si="23"/>
        <v/>
      </c>
      <c r="S44" s="41" t="str">
        <f t="shared" si="24"/>
        <v/>
      </c>
      <c r="T44" s="166" t="str">
        <f>IF(L44="","",VLOOKUP(L44,classifications!C:K,9,FALSE))</f>
        <v>Sparse</v>
      </c>
      <c r="U44" s="167">
        <f t="shared" si="25"/>
        <v>90.909090909090907</v>
      </c>
      <c r="V44" s="173">
        <f>IF(U44="","",IF($I$8="A",(RANK(U44,U$11:U$333)+COUNTIF(U$11:U44,U44)-1),(RANK(U44,U$11:U$333,1)+COUNTIF(U$11:U44,U44)-1)))</f>
        <v>12</v>
      </c>
      <c r="W44" s="174"/>
      <c r="X44" s="5" t="str">
        <f>IF(L44="","",VLOOKUP($L44,classifications!$C:$J,6,FALSE))</f>
        <v xml:space="preserve">Predominantly Rural </v>
      </c>
      <c r="Y44">
        <f t="shared" si="26"/>
        <v>90.909090909090907</v>
      </c>
      <c r="Z44" s="39">
        <f>IF(Y44="","",IF(I$8="A",(RANK(Y44,Y$11:Y$333,1)+COUNTIF(Y$11:Y44,Y44)-1),(RANK(Y44,Y$11:Y$333)+COUNTIF(Y$11:Y44,Y44)-1)))</f>
        <v>10</v>
      </c>
      <c r="AA44" s="177" t="str">
        <f>IF(L44="","",VLOOKUP($L44,classifications!C:I,7,FALSE))</f>
        <v>Predominantly Rural</v>
      </c>
      <c r="AB44" s="173" t="str">
        <f t="shared" si="27"/>
        <v/>
      </c>
      <c r="AC44" s="173" t="str">
        <f>IF(AB44="","",IF($I$8="A",(RANK(AB44,AB$11:AB$333)+COUNTIF(AB$11:AB44,AB44)-1),(RANK(AB44,AB$11:AB$333,1)+COUNTIF(AB$11:AB44,AB44)-1)))</f>
        <v/>
      </c>
      <c r="AD44" s="173"/>
      <c r="AE44" s="45">
        <f>IF(I$8="A",(RANK(AG44,AG$11:AG$333,1)+COUNTIF(AG$11:AG44,AG44)-1),(RANK(AG44,AG$11:AG$333)+COUNTIF(AG$11:AG44,AG44)-1))</f>
        <v>33</v>
      </c>
      <c r="AF44" t="str">
        <f>VLOOKUP(Profile!$J$5,Families!$C:$R,2,FALSE)</f>
        <v>Cheshire West &amp; Chester</v>
      </c>
      <c r="AG44" s="15">
        <f t="shared" si="15"/>
        <v>100</v>
      </c>
      <c r="AH44" s="46">
        <f t="shared" si="28"/>
        <v>33</v>
      </c>
      <c r="AI44" s="5" t="str">
        <f>IF(L44="","",VLOOKUP($L44,classifications!$C:$J,8,FALSE))</f>
        <v>Unitary</v>
      </c>
      <c r="AJ44" s="42">
        <f t="shared" si="29"/>
        <v>90.909090909090907</v>
      </c>
      <c r="AK44" s="39">
        <f>IF(AJ44="","",IF(I$8="A",(RANK(AJ44,AJ$11:AJ$333,1)+COUNTIF(AJ$11:AJ44,AJ44)-1),(RANK(AJ44,AJ$11:AJ$333)+COUNTIF(AJ$11:AJ44,AJ44)-1)))</f>
        <v>34</v>
      </c>
      <c r="AL44" s="3">
        <f t="shared" si="16"/>
        <v>34</v>
      </c>
      <c r="AM44" t="str">
        <f t="shared" si="6"/>
        <v>Isle Of Wight</v>
      </c>
      <c r="AN44">
        <f t="shared" si="7"/>
        <v>90.909090909090907</v>
      </c>
      <c r="AP44" s="5" t="str">
        <f>IF(L44="","",VLOOKUP($L44,classifications!$C:$E,3,FALSE))</f>
        <v>South East</v>
      </c>
      <c r="AQ44" s="42" t="str">
        <f t="shared" si="30"/>
        <v/>
      </c>
      <c r="AR44" s="39" t="str">
        <f>IF(AQ44="","",IF(I$8="A",(RANK(AQ44,AQ$11:AQ$333,1)+COUNTIF(AQ$11:AQ44,AQ44)-1),(RANK(AQ44,AQ$11:AQ$333)+COUNTIF(AQ$11:AQ44,AQ44)-1)))</f>
        <v/>
      </c>
      <c r="AS44" s="3" t="str">
        <f t="shared" si="18"/>
        <v/>
      </c>
      <c r="AT44" s="39" t="str">
        <f t="shared" si="8"/>
        <v/>
      </c>
      <c r="AU44" s="42" t="str">
        <f t="shared" si="9"/>
        <v/>
      </c>
      <c r="AX44">
        <f>HLOOKUP($AX$9&amp;$AX$10,Data!$A$1:$ZT$1975,(MATCH($C44,Data!$A$1:$A$1975,0)),FALSE)</f>
        <v>90.909090909090907</v>
      </c>
    </row>
    <row r="45" spans="1:50">
      <c r="A45" s="55" t="str">
        <f>$D$1&amp;35</f>
        <v>UA35</v>
      </c>
      <c r="B45" s="56">
        <f>IF(ISERROR(VLOOKUP(A45,classifications!A:C,3,FALSE)),0,VLOOKUP(A45,classifications!A:C,3,FALSE))</f>
        <v>0</v>
      </c>
      <c r="C45" t="s">
        <v>199</v>
      </c>
      <c r="D45" t="str">
        <f>VLOOKUP($C45,classifications!$C:$J,4,FALSE)</f>
        <v>L</v>
      </c>
      <c r="E45">
        <f>VLOOKUP(C45,classifications!C:K,9,FALSE)</f>
        <v>0</v>
      </c>
      <c r="F45">
        <f t="shared" si="0"/>
        <v>71.428571428571431</v>
      </c>
      <c r="G45" s="15"/>
      <c r="H45" s="41" t="str">
        <f t="shared" si="1"/>
        <v/>
      </c>
      <c r="I45" s="73" t="str">
        <f>IF(H45="","",IF($I$8="A",(RANK(H45,H$11:H$333,1)+COUNTIF(H$11:H45,H45)-1),(RANK(H45,H$11:H$333)+COUNTIF(H$11:H45,H45)-1)))</f>
        <v/>
      </c>
      <c r="J45" s="40"/>
      <c r="K45" s="35">
        <f t="shared" si="10"/>
        <v>35</v>
      </c>
      <c r="L45" t="str">
        <f t="shared" si="2"/>
        <v>Bedford</v>
      </c>
      <c r="M45" s="109">
        <f t="shared" si="3"/>
        <v>90</v>
      </c>
      <c r="N45" s="104">
        <f t="shared" si="19"/>
        <v>90</v>
      </c>
      <c r="O45" s="89" t="str">
        <f t="shared" si="20"/>
        <v/>
      </c>
      <c r="P45" s="89" t="str">
        <f t="shared" si="21"/>
        <v/>
      </c>
      <c r="Q45" s="89">
        <f t="shared" si="22"/>
        <v>90</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Urban with Significant Rural</v>
      </c>
      <c r="Y45">
        <f t="shared" si="26"/>
        <v>90</v>
      </c>
      <c r="Z45" s="39">
        <f>IF(Y45="","",IF(I$8="A",(RANK(Y45,Y$11:Y$333,1)+COUNTIF(Y$11:Y45,Y45)-1),(RANK(Y45,Y$11:Y$333)+COUNTIF(Y$11:Y45,Y45)-1)))</f>
        <v>11</v>
      </c>
      <c r="AA45" s="177" t="str">
        <f>IF(L45="","",VLOOKUP($L45,classifications!C:I,7,FALSE))</f>
        <v>Urban with Significant Rural</v>
      </c>
      <c r="AB45" s="173">
        <f t="shared" si="27"/>
        <v>90</v>
      </c>
      <c r="AC45" s="173">
        <f>IF(AB45="","",IF($I$8="A",(RANK(AB45,AB$11:AB$333)+COUNTIF(AB$11:AB45,AB45)-1),(RANK(AB45,AB$11:AB$333,1)+COUNTIF(AB$11:AB45,AB45)-1)))</f>
        <v>6</v>
      </c>
      <c r="AD45" s="173"/>
      <c r="AE45" s="45">
        <f>IF(I$8="A",(RANK(AG45,AG$11:AG$333,1)+COUNTIF(AG$11:AG45,AG45)-1),(RANK(AG45,AG$11:AG$333)+COUNTIF(AG$11:AG45,AG45)-1))</f>
        <v>34</v>
      </c>
      <c r="AF45" t="str">
        <f>VLOOKUP(Profile!$J$5,Families!$C:$R,2,FALSE)</f>
        <v>Cheshire West &amp; Chester</v>
      </c>
      <c r="AG45" s="15">
        <f t="shared" si="15"/>
        <v>100</v>
      </c>
      <c r="AH45" s="46">
        <f t="shared" si="28"/>
        <v>34</v>
      </c>
      <c r="AI45" s="5" t="str">
        <f>IF(L45="","",VLOOKUP($L45,classifications!$C:$J,8,FALSE))</f>
        <v>Unitary</v>
      </c>
      <c r="AJ45" s="42">
        <f t="shared" si="29"/>
        <v>90</v>
      </c>
      <c r="AK45" s="39">
        <f>IF(AJ45="","",IF(I$8="A",(RANK(AJ45,AJ$11:AJ$333,1)+COUNTIF(AJ$11:AJ45,AJ45)-1),(RANK(AJ45,AJ$11:AJ$333)+COUNTIF(AJ$11:AJ45,AJ45)-1)))</f>
        <v>35</v>
      </c>
      <c r="AL45" s="3">
        <f t="shared" si="16"/>
        <v>35</v>
      </c>
      <c r="AM45" t="str">
        <f t="shared" si="6"/>
        <v>Bedford</v>
      </c>
      <c r="AN45">
        <f t="shared" si="7"/>
        <v>90</v>
      </c>
      <c r="AP45" s="5" t="str">
        <f>IF(L45="","",VLOOKUP($L45,classifications!$C:$E,3,FALSE))</f>
        <v>East of England</v>
      </c>
      <c r="AQ45" s="42" t="str">
        <f t="shared" si="30"/>
        <v/>
      </c>
      <c r="AR45" s="39" t="str">
        <f>IF(AQ45="","",IF(I$8="A",(RANK(AQ45,AQ$11:AQ$333,1)+COUNTIF(AQ$11:AQ45,AQ45)-1),(RANK(AQ45,AQ$11:AQ$333)+COUNTIF(AQ$11:AQ45,AQ45)-1)))</f>
        <v/>
      </c>
      <c r="AS45" s="3" t="str">
        <f t="shared" si="18"/>
        <v/>
      </c>
      <c r="AT45" s="39" t="str">
        <f t="shared" si="8"/>
        <v/>
      </c>
      <c r="AU45" s="42" t="str">
        <f t="shared" si="9"/>
        <v/>
      </c>
      <c r="AX45">
        <f>HLOOKUP($AX$9&amp;$AX$10,Data!$A$1:$ZT$1975,(MATCH($C45,Data!$A$1:$A$1975,0)),FALSE)</f>
        <v>71.428571428571431</v>
      </c>
    </row>
    <row r="46" spans="1:50">
      <c r="A46" s="55" t="str">
        <f>$D$1&amp;36</f>
        <v>UA36</v>
      </c>
      <c r="B46" s="56">
        <f>IF(ISERROR(VLOOKUP(A46,classifications!A:C,3,FALSE)),0,VLOOKUP(A46,classifications!A:C,3,FALSE))</f>
        <v>0</v>
      </c>
      <c r="C46" t="s">
        <v>23</v>
      </c>
      <c r="D46" t="str">
        <f>VLOOKUP($C46,classifications!$C:$J,4,FALSE)</f>
        <v>SD</v>
      </c>
      <c r="E46">
        <f>VLOOKUP(C46,classifications!C:K,9,FALSE)</f>
        <v>0</v>
      </c>
      <c r="F46">
        <f t="shared" si="0"/>
        <v>33.333333333333329</v>
      </c>
      <c r="G46" s="15"/>
      <c r="H46" s="41" t="str">
        <f t="shared" si="1"/>
        <v/>
      </c>
      <c r="I46" s="73" t="str">
        <f>IF(H46="","",IF($I$8="A",(RANK(H46,H$11:H$333,1)+COUNTIF(H$11:H46,H46)-1),(RANK(H46,H$11:H$333)+COUNTIF(H$11:H46,H46)-1)))</f>
        <v/>
      </c>
      <c r="J46" s="40"/>
      <c r="K46" s="35">
        <f t="shared" si="10"/>
        <v>36</v>
      </c>
      <c r="L46" t="str">
        <f t="shared" si="2"/>
        <v>East Riding of Yorkshire</v>
      </c>
      <c r="M46" s="109">
        <f t="shared" si="3"/>
        <v>89.285714285714292</v>
      </c>
      <c r="N46" s="104">
        <f t="shared" si="19"/>
        <v>89.285714285714292</v>
      </c>
      <c r="O46" s="89" t="str">
        <f t="shared" si="20"/>
        <v/>
      </c>
      <c r="P46" s="89" t="str">
        <f t="shared" si="21"/>
        <v/>
      </c>
      <c r="Q46" s="89">
        <f t="shared" si="22"/>
        <v>89.285714285714292</v>
      </c>
      <c r="R46" s="85" t="str">
        <f t="shared" si="23"/>
        <v/>
      </c>
      <c r="S46" s="41" t="str">
        <f t="shared" si="24"/>
        <v/>
      </c>
      <c r="T46" s="166" t="str">
        <f>IF(L46="","",VLOOKUP(L46,classifications!C:K,9,FALSE))</f>
        <v>Sparse</v>
      </c>
      <c r="U46" s="167">
        <f t="shared" si="25"/>
        <v>89.285714285714292</v>
      </c>
      <c r="V46" s="173">
        <f>IF(U46="","",IF($I$8="A",(RANK(U46,U$11:U$333)+COUNTIF(U$11:U46,U46)-1),(RANK(U46,U$11:U$333,1)+COUNTIF(U$11:U46,U46)-1)))</f>
        <v>9</v>
      </c>
      <c r="W46" s="174"/>
      <c r="X46" s="5" t="str">
        <f>IF(L46="","",VLOOKUP($L46,classifications!$C:$J,6,FALSE))</f>
        <v xml:space="preserve">Predominantly Rural </v>
      </c>
      <c r="Y46">
        <f t="shared" si="26"/>
        <v>89.285714285714292</v>
      </c>
      <c r="Z46" s="39">
        <f>IF(Y46="","",IF(I$8="A",(RANK(Y46,Y$11:Y$333,1)+COUNTIF(Y$11:Y46,Y46)-1),(RANK(Y46,Y$11:Y$333)+COUNTIF(Y$11:Y46,Y46)-1)))</f>
        <v>12</v>
      </c>
      <c r="AA46" s="177" t="str">
        <f>IF(L46="","",VLOOKUP($L46,classifications!C:I,7,FALSE))</f>
        <v>Predominantly Rural</v>
      </c>
      <c r="AB46" s="173" t="str">
        <f t="shared" si="27"/>
        <v/>
      </c>
      <c r="AC46" s="173" t="str">
        <f>IF(AB46="","",IF($I$8="A",(RANK(AB46,AB$11:AB$333)+COUNTIF(AB$11:AB46,AB46)-1),(RANK(AB46,AB$11:AB$333,1)+COUNTIF(AB$11:AB46,AB46)-1)))</f>
        <v/>
      </c>
      <c r="AD46" s="173"/>
      <c r="AE46" s="45">
        <f>IF(I$8="A",(RANK(AG46,AG$11:AG$333,1)+COUNTIF(AG$11:AG46,AG46)-1),(RANK(AG46,AG$11:AG$333)+COUNTIF(AG$11:AG46,AG46)-1))</f>
        <v>35</v>
      </c>
      <c r="AF46" t="str">
        <f>VLOOKUP(Profile!$J$5,Families!$C:$R,2,FALSE)</f>
        <v>Cheshire West &amp; Chester</v>
      </c>
      <c r="AG46" s="15">
        <f t="shared" si="15"/>
        <v>100</v>
      </c>
      <c r="AH46" s="46">
        <f t="shared" si="28"/>
        <v>35</v>
      </c>
      <c r="AI46" s="5" t="str">
        <f>IF(L46="","",VLOOKUP($L46,classifications!$C:$J,8,FALSE))</f>
        <v>Unitary</v>
      </c>
      <c r="AJ46" s="42">
        <f t="shared" si="29"/>
        <v>89.285714285714292</v>
      </c>
      <c r="AK46" s="39">
        <f>IF(AJ46="","",IF(I$8="A",(RANK(AJ46,AJ$11:AJ$333,1)+COUNTIF(AJ$11:AJ46,AJ46)-1),(RANK(AJ46,AJ$11:AJ$333)+COUNTIF(AJ$11:AJ46,AJ46)-1)))</f>
        <v>36</v>
      </c>
      <c r="AL46" s="3">
        <f t="shared" si="16"/>
        <v>36</v>
      </c>
      <c r="AM46" t="str">
        <f t="shared" si="6"/>
        <v>East Riding of Yorkshire</v>
      </c>
      <c r="AN46">
        <f t="shared" si="7"/>
        <v>89.285714285714292</v>
      </c>
      <c r="AP46" s="5" t="str">
        <f>IF(L46="","",VLOOKUP($L46,classifications!$C:$E,3,FALSE))</f>
        <v>Yorkshire &amp; Humberside</v>
      </c>
      <c r="AQ46" s="42" t="str">
        <f t="shared" si="30"/>
        <v/>
      </c>
      <c r="AR46" s="39" t="str">
        <f>IF(AQ46="","",IF(I$8="A",(RANK(AQ46,AQ$11:AQ$333,1)+COUNTIF(AQ$11:AQ46,AQ46)-1),(RANK(AQ46,AQ$11:AQ$333)+COUNTIF(AQ$11:AQ46,AQ46)-1)))</f>
        <v/>
      </c>
      <c r="AS46" s="3" t="str">
        <f t="shared" si="18"/>
        <v/>
      </c>
      <c r="AT46" s="39" t="str">
        <f t="shared" si="8"/>
        <v/>
      </c>
      <c r="AU46" s="42" t="str">
        <f t="shared" si="9"/>
        <v/>
      </c>
      <c r="AX46">
        <f>HLOOKUP($AX$9&amp;$AX$10,Data!$A$1:$ZT$1975,(MATCH($C46,Data!$A$1:$A$1975,0)),FALSE)</f>
        <v>33.333333333333329</v>
      </c>
    </row>
    <row r="47" spans="1:50">
      <c r="A47" s="55" t="str">
        <f>$D$1&amp;37</f>
        <v>UA37</v>
      </c>
      <c r="B47" s="56">
        <f>IF(ISERROR(VLOOKUP(A47,classifications!A:C,3,FALSE)),0,VLOOKUP(A47,classifications!A:C,3,FALSE))</f>
        <v>0</v>
      </c>
      <c r="C47" t="s">
        <v>24</v>
      </c>
      <c r="D47" t="str">
        <f>VLOOKUP($C47,classifications!$C:$J,4,FALSE)</f>
        <v>SD</v>
      </c>
      <c r="E47">
        <f>VLOOKUP(C47,classifications!C:K,9,FALSE)</f>
        <v>0</v>
      </c>
      <c r="F47">
        <f t="shared" si="0"/>
        <v>100</v>
      </c>
      <c r="G47" s="15"/>
      <c r="H47" s="41" t="str">
        <f t="shared" si="1"/>
        <v/>
      </c>
      <c r="I47" s="73" t="str">
        <f>IF(H47="","",IF($I$8="A",(RANK(H47,H$11:H$333,1)+COUNTIF(H$11:H47,H47)-1),(RANK(H47,H$11:H$333)+COUNTIF(H$11:H47,H47)-1)))</f>
        <v/>
      </c>
      <c r="J47" s="40"/>
      <c r="K47" s="35">
        <f t="shared" si="10"/>
        <v>37</v>
      </c>
      <c r="L47" t="str">
        <f t="shared" si="2"/>
        <v>Bracknell Forest</v>
      </c>
      <c r="M47" s="109">
        <f t="shared" si="3"/>
        <v>88.888888888888886</v>
      </c>
      <c r="N47" s="104">
        <f t="shared" si="19"/>
        <v>88.888888888888886</v>
      </c>
      <c r="O47" s="89" t="str">
        <f t="shared" si="20"/>
        <v/>
      </c>
      <c r="P47" s="89" t="str">
        <f t="shared" si="21"/>
        <v/>
      </c>
      <c r="Q47" s="89">
        <f t="shared" si="22"/>
        <v>88.888888888888886</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Predominantly Urban</v>
      </c>
      <c r="Y47" t="str">
        <f t="shared" si="26"/>
        <v/>
      </c>
      <c r="Z47" s="39" t="str">
        <f>IF(Y47="","",IF(I$8="A",(RANK(Y47,Y$11:Y$333,1)+COUNTIF(Y$11:Y47,Y47)-1),(RANK(Y47,Y$11:Y$333)+COUNTIF(Y$11:Y47,Y47)-1)))</f>
        <v/>
      </c>
      <c r="AA47" s="177" t="str">
        <f>IF(L47="","",VLOOKUP($L47,classifications!C:I,7,FALSE))</f>
        <v>Predominantly Urban</v>
      </c>
      <c r="AB47" s="173" t="str">
        <f t="shared" si="27"/>
        <v/>
      </c>
      <c r="AC47" s="173" t="str">
        <f>IF(AB47="","",IF($I$8="A",(RANK(AB47,AB$11:AB$333)+COUNTIF(AB$11:AB47,AB47)-1),(RANK(AB47,AB$11:AB$333,1)+COUNTIF(AB$11:AB47,AB47)-1)))</f>
        <v/>
      </c>
      <c r="AD47" s="173"/>
      <c r="AE47" s="45">
        <f>IF(I$8="A",(RANK(AG47,AG$11:AG$333,1)+COUNTIF(AG$11:AG47,AG47)-1),(RANK(AG47,AG$11:AG$333)+COUNTIF(AG$11:AG47,AG47)-1))</f>
        <v>36</v>
      </c>
      <c r="AF47" t="str">
        <f>VLOOKUP(Profile!$J$5,Families!$C:$R,2,FALSE)</f>
        <v>Cheshire West &amp; Chester</v>
      </c>
      <c r="AG47" s="15">
        <f t="shared" si="15"/>
        <v>100</v>
      </c>
      <c r="AH47" s="46">
        <f t="shared" si="28"/>
        <v>36</v>
      </c>
      <c r="AI47" s="5" t="str">
        <f>IF(L47="","",VLOOKUP($L47,classifications!$C:$J,8,FALSE))</f>
        <v>Unitary</v>
      </c>
      <c r="AJ47" s="42">
        <f t="shared" si="29"/>
        <v>88.888888888888886</v>
      </c>
      <c r="AK47" s="39">
        <f>IF(AJ47="","",IF(I$8="A",(RANK(AJ47,AJ$11:AJ$333,1)+COUNTIF(AJ$11:AJ47,AJ47)-1),(RANK(AJ47,AJ$11:AJ$333)+COUNTIF(AJ$11:AJ47,AJ47)-1)))</f>
        <v>37</v>
      </c>
      <c r="AL47" s="3">
        <f t="shared" si="16"/>
        <v>37</v>
      </c>
      <c r="AM47" t="str">
        <f t="shared" si="6"/>
        <v>Bracknell Forest</v>
      </c>
      <c r="AN47">
        <f t="shared" si="7"/>
        <v>88.888888888888886</v>
      </c>
      <c r="AP47" s="5" t="str">
        <f>IF(L47="","",VLOOKUP($L47,classifications!$C:$E,3,FALSE))</f>
        <v>South East</v>
      </c>
      <c r="AQ47" s="42" t="str">
        <f t="shared" si="30"/>
        <v/>
      </c>
      <c r="AR47" s="39" t="str">
        <f>IF(AQ47="","",IF(I$8="A",(RANK(AQ47,AQ$11:AQ$333,1)+COUNTIF(AQ$11:AQ47,AQ47)-1),(RANK(AQ47,AQ$11:AQ$333)+COUNTIF(AQ$11:AQ47,AQ47)-1)))</f>
        <v/>
      </c>
      <c r="AS47" s="3" t="str">
        <f t="shared" si="18"/>
        <v/>
      </c>
      <c r="AT47" s="39" t="str">
        <f t="shared" si="8"/>
        <v/>
      </c>
      <c r="AU47" s="42" t="str">
        <f t="shared" si="9"/>
        <v/>
      </c>
      <c r="AX47">
        <f>HLOOKUP($AX$9&amp;$AX$10,Data!$A$1:$ZT$1975,(MATCH($C47,Data!$A$1:$A$1975,0)),FALSE)</f>
        <v>100</v>
      </c>
    </row>
    <row r="48" spans="1:50">
      <c r="A48" s="55" t="str">
        <f>$D$1&amp;38</f>
        <v>UA38</v>
      </c>
      <c r="B48" s="56">
        <f>IF(ISERROR(VLOOKUP(A48,classifications!A:C,3,FALSE)),0,VLOOKUP(A48,classifications!A:C,3,FALSE))</f>
        <v>0</v>
      </c>
      <c r="C48" t="s">
        <v>25</v>
      </c>
      <c r="D48" t="str">
        <f>VLOOKUP($C48,classifications!$C:$J,4,FALSE)</f>
        <v>SD</v>
      </c>
      <c r="E48">
        <f>VLOOKUP(C48,classifications!C:K,9,FALSE)</f>
        <v>0</v>
      </c>
      <c r="F48">
        <f t="shared" si="0"/>
        <v>75</v>
      </c>
      <c r="G48" s="15"/>
      <c r="H48" s="41" t="str">
        <f t="shared" si="1"/>
        <v/>
      </c>
      <c r="I48" s="73" t="str">
        <f>IF(H48="","",IF($I$8="A",(RANK(H48,H$11:H$333,1)+COUNTIF(H$11:H48,H48)-1),(RANK(H48,H$11:H$333)+COUNTIF(H$11:H48,H48)-1)))</f>
        <v/>
      </c>
      <c r="J48" s="40"/>
      <c r="K48" s="35">
        <f t="shared" si="10"/>
        <v>38</v>
      </c>
      <c r="L48" t="str">
        <f t="shared" si="2"/>
        <v>North Lincolnshire</v>
      </c>
      <c r="M48" s="109">
        <f t="shared" si="3"/>
        <v>88.888888888888886</v>
      </c>
      <c r="N48" s="104">
        <f t="shared" si="19"/>
        <v>88.888888888888886</v>
      </c>
      <c r="O48" s="89" t="str">
        <f t="shared" si="20"/>
        <v/>
      </c>
      <c r="P48" s="89" t="str">
        <f t="shared" si="21"/>
        <v/>
      </c>
      <c r="Q48" s="89">
        <f t="shared" si="22"/>
        <v>88.888888888888886</v>
      </c>
      <c r="R48" s="85" t="str">
        <f t="shared" si="23"/>
        <v/>
      </c>
      <c r="S48" s="41" t="str">
        <f t="shared" si="24"/>
        <v/>
      </c>
      <c r="T48" s="166" t="str">
        <f>IF(L48="","",VLOOKUP(L48,classifications!C:K,9,FALSE))</f>
        <v>Sparse</v>
      </c>
      <c r="U48" s="167">
        <f t="shared" si="25"/>
        <v>88.888888888888886</v>
      </c>
      <c r="V48" s="173">
        <f>IF(U48="","",IF($I$8="A",(RANK(U48,U$11:U$333)+COUNTIF(U$11:U48,U48)-1),(RANK(U48,U$11:U$333,1)+COUNTIF(U$11:U48,U48)-1)))</f>
        <v>8</v>
      </c>
      <c r="W48" s="174"/>
      <c r="X48" s="5" t="str">
        <f>IF(L48="","",VLOOKUP($L48,classifications!$C:$J,6,FALSE))</f>
        <v>Urban with Significant Rural</v>
      </c>
      <c r="Y48">
        <f t="shared" si="26"/>
        <v>88.888888888888886</v>
      </c>
      <c r="Z48" s="39">
        <f>IF(Y48="","",IF(I$8="A",(RANK(Y48,Y$11:Y$333,1)+COUNTIF(Y$11:Y48,Y48)-1),(RANK(Y48,Y$11:Y$333)+COUNTIF(Y$11:Y48,Y48)-1)))</f>
        <v>13</v>
      </c>
      <c r="AA48" s="177" t="str">
        <f>IF(L48="","",VLOOKUP($L48,classifications!C:I,7,FALSE))</f>
        <v>Urban with Significant Rural</v>
      </c>
      <c r="AB48" s="173">
        <f t="shared" si="27"/>
        <v>88.888888888888886</v>
      </c>
      <c r="AC48" s="173">
        <f>IF(AB48="","",IF($I$8="A",(RANK(AB48,AB$11:AB$333)+COUNTIF(AB$11:AB48,AB48)-1),(RANK(AB48,AB$11:AB$333,1)+COUNTIF(AB$11:AB48,AB48)-1)))</f>
        <v>5</v>
      </c>
      <c r="AD48" s="173"/>
      <c r="AE48" s="45">
        <f>IF(I$8="A",(RANK(AG48,AG$11:AG$333,1)+COUNTIF(AG$11:AG48,AG48)-1),(RANK(AG48,AG$11:AG$333)+COUNTIF(AG$11:AG48,AG48)-1))</f>
        <v>37</v>
      </c>
      <c r="AF48" t="str">
        <f>VLOOKUP(Profile!$J$5,Families!$C:$R,2,FALSE)</f>
        <v>Cheshire West &amp; Chester</v>
      </c>
      <c r="AG48" s="15">
        <f t="shared" si="15"/>
        <v>100</v>
      </c>
      <c r="AH48" s="46">
        <f t="shared" si="28"/>
        <v>37</v>
      </c>
      <c r="AI48" s="5" t="str">
        <f>IF(L48="","",VLOOKUP($L48,classifications!$C:$J,8,FALSE))</f>
        <v>Unitary</v>
      </c>
      <c r="AJ48" s="42">
        <f t="shared" si="29"/>
        <v>88.888888888888886</v>
      </c>
      <c r="AK48" s="39">
        <f>IF(AJ48="","",IF(I$8="A",(RANK(AJ48,AJ$11:AJ$333,1)+COUNTIF(AJ$11:AJ48,AJ48)-1),(RANK(AJ48,AJ$11:AJ$333)+COUNTIF(AJ$11:AJ48,AJ48)-1)))</f>
        <v>38</v>
      </c>
      <c r="AL48" s="3">
        <f t="shared" si="16"/>
        <v>38</v>
      </c>
      <c r="AM48" t="str">
        <f t="shared" si="6"/>
        <v>North Lincolnshire</v>
      </c>
      <c r="AN48">
        <f t="shared" si="7"/>
        <v>88.888888888888886</v>
      </c>
      <c r="AP48" s="5" t="str">
        <f>IF(L48="","",VLOOKUP($L48,classifications!$C:$E,3,FALSE))</f>
        <v>Yorkshire &amp; Humberside</v>
      </c>
      <c r="AQ48" s="42" t="str">
        <f t="shared" si="30"/>
        <v/>
      </c>
      <c r="AR48" s="39" t="str">
        <f>IF(AQ48="","",IF(I$8="A",(RANK(AQ48,AQ$11:AQ$333,1)+COUNTIF(AQ$11:AQ48,AQ48)-1),(RANK(AQ48,AQ$11:AQ$333)+COUNTIF(AQ$11:AQ48,AQ48)-1)))</f>
        <v/>
      </c>
      <c r="AS48" s="3" t="str">
        <f t="shared" si="18"/>
        <v/>
      </c>
      <c r="AT48" s="39" t="str">
        <f t="shared" si="8"/>
        <v/>
      </c>
      <c r="AU48" s="42" t="str">
        <f t="shared" si="9"/>
        <v/>
      </c>
      <c r="AX48">
        <f>HLOOKUP($AX$9&amp;$AX$10,Data!$A$1:$ZT$1975,(MATCH($C48,Data!$A$1:$A$1975,0)),FALSE)</f>
        <v>75</v>
      </c>
    </row>
    <row r="49" spans="1:50">
      <c r="A49" s="55" t="str">
        <f>$D$1&amp;39</f>
        <v>UA39</v>
      </c>
      <c r="B49" s="56">
        <f>IF(ISERROR(VLOOKUP(A49,classifications!A:C,3,FALSE)),0,VLOOKUP(A49,classifications!A:C,3,FALSE))</f>
        <v>0</v>
      </c>
      <c r="C49" t="s">
        <v>300</v>
      </c>
      <c r="D49" t="str">
        <f>VLOOKUP($C49,classifications!$C:$J,4,FALSE)</f>
        <v>UA</v>
      </c>
      <c r="E49">
        <f>VLOOKUP(C49,classifications!C:K,9,FALSE)</f>
        <v>0</v>
      </c>
      <c r="F49">
        <f t="shared" si="0"/>
        <v>96.969696969696969</v>
      </c>
      <c r="G49" s="15"/>
      <c r="H49" s="41">
        <f t="shared" si="1"/>
        <v>96.969696969696969</v>
      </c>
      <c r="I49" s="73">
        <f>IF(H49="","",IF($I$8="A",(RANK(H49,H$11:H$333,1)+COUNTIF(H$11:H49,H49)-1),(RANK(H49,H$11:H$333)+COUNTIF(H$11:H49,H49)-1)))</f>
        <v>25</v>
      </c>
      <c r="J49" s="40"/>
      <c r="K49" s="35">
        <f t="shared" si="10"/>
        <v>39</v>
      </c>
      <c r="L49" t="str">
        <f t="shared" si="2"/>
        <v>Somerset</v>
      </c>
      <c r="M49" s="109">
        <f t="shared" si="3"/>
        <v>88.888888888888886</v>
      </c>
      <c r="N49" s="104">
        <f t="shared" si="19"/>
        <v>88.888888888888886</v>
      </c>
      <c r="O49" s="89" t="str">
        <f t="shared" si="20"/>
        <v/>
      </c>
      <c r="P49" s="89" t="str">
        <f t="shared" si="21"/>
        <v/>
      </c>
      <c r="Q49" s="89">
        <f t="shared" si="22"/>
        <v>88.888888888888886</v>
      </c>
      <c r="R49" s="85" t="str">
        <f t="shared" si="23"/>
        <v/>
      </c>
      <c r="S49" s="41" t="str">
        <f t="shared" si="24"/>
        <v/>
      </c>
      <c r="T49" s="166">
        <f>IF(L49="","",VLOOKUP(L49,classifications!C:K,9,FALSE))</f>
        <v>0</v>
      </c>
      <c r="U49" s="167" t="str">
        <f t="shared" si="25"/>
        <v/>
      </c>
      <c r="V49" s="173" t="str">
        <f>IF(U49="","",IF($I$8="A",(RANK(U49,U$11:U$333)+COUNTIF(U$11:U49,U49)-1),(RANK(U49,U$11:U$333,1)+COUNTIF(U$11:U49,U49)-1)))</f>
        <v/>
      </c>
      <c r="W49" s="174"/>
      <c r="X49" s="5" t="str">
        <f>IF(L49="","",VLOOKUP($L49,classifications!$C:$J,6,FALSE))</f>
        <v>Predominantly Rural</v>
      </c>
      <c r="Y49" t="str">
        <f t="shared" si="26"/>
        <v/>
      </c>
      <c r="Z49" s="39" t="str">
        <f>IF(Y49="","",IF(I$8="A",(RANK(Y49,Y$11:Y$333,1)+COUNTIF(Y$11:Y49,Y49)-1),(RANK(Y49,Y$11:Y$333)+COUNTIF(Y$11:Y49,Y49)-1)))</f>
        <v/>
      </c>
      <c r="AA49" s="177" t="str">
        <f>IF(L49="","",VLOOKUP($L49,classifications!C:I,7,FALSE))</f>
        <v>Predominantly Rural</v>
      </c>
      <c r="AB49" s="173" t="str">
        <f t="shared" si="27"/>
        <v/>
      </c>
      <c r="AC49" s="173" t="str">
        <f>IF(AB49="","",IF($I$8="A",(RANK(AB49,AB$11:AB$333)+COUNTIF(AB$11:AB49,AB49)-1),(RANK(AB49,AB$11:AB$333,1)+COUNTIF(AB$11:AB49,AB49)-1)))</f>
        <v/>
      </c>
      <c r="AD49" s="173"/>
      <c r="AE49" s="45">
        <f>IF(I$8="A",(RANK(AG49,AG$11:AG$333,1)+COUNTIF(AG$11:AG49,AG49)-1),(RANK(AG49,AG$11:AG$333)+COUNTIF(AG$11:AG49,AG49)-1))</f>
        <v>38</v>
      </c>
      <c r="AF49" t="str">
        <f>VLOOKUP(Profile!$J$5,Families!$C:$R,2,FALSE)</f>
        <v>Cheshire West &amp; Chester</v>
      </c>
      <c r="AG49" s="15">
        <f t="shared" si="15"/>
        <v>100</v>
      </c>
      <c r="AH49" s="46">
        <f t="shared" si="28"/>
        <v>38</v>
      </c>
      <c r="AI49" s="5" t="str">
        <f>IF(L49="","",VLOOKUP($L49,classifications!$C:$J,8,FALSE))</f>
        <v>Unitary</v>
      </c>
      <c r="AJ49" s="42">
        <f t="shared" si="29"/>
        <v>88.888888888888886</v>
      </c>
      <c r="AK49" s="39">
        <f>IF(AJ49="","",IF(I$8="A",(RANK(AJ49,AJ$11:AJ$333,1)+COUNTIF(AJ$11:AJ49,AJ49)-1),(RANK(AJ49,AJ$11:AJ$333)+COUNTIF(AJ$11:AJ49,AJ49)-1)))</f>
        <v>39</v>
      </c>
      <c r="AL49" s="3">
        <f t="shared" si="16"/>
        <v>39</v>
      </c>
      <c r="AM49" t="str">
        <f t="shared" si="6"/>
        <v>Somerset</v>
      </c>
      <c r="AN49">
        <f t="shared" si="7"/>
        <v>88.888888888888886</v>
      </c>
      <c r="AP49" s="5" t="str">
        <f>IF(L49="","",VLOOKUP($L49,classifications!$C:$E,3,FALSE))</f>
        <v>South West</v>
      </c>
      <c r="AQ49" s="42" t="str">
        <f t="shared" si="30"/>
        <v/>
      </c>
      <c r="AR49" s="39" t="str">
        <f>IF(AQ49="","",IF(I$8="A",(RANK(AQ49,AQ$11:AQ$333,1)+COUNTIF(AQ$11:AQ49,AQ49)-1),(RANK(AQ49,AQ$11:AQ$333)+COUNTIF(AQ$11:AQ49,AQ49)-1)))</f>
        <v/>
      </c>
      <c r="AS49" s="3" t="str">
        <f t="shared" si="18"/>
        <v/>
      </c>
      <c r="AT49" s="39" t="str">
        <f t="shared" si="8"/>
        <v/>
      </c>
      <c r="AU49" s="42" t="str">
        <f t="shared" si="9"/>
        <v/>
      </c>
      <c r="AX49">
        <f>HLOOKUP($AX$9&amp;$AX$10,Data!$A$1:$ZT$1975,(MATCH($C49,Data!$A$1:$A$1975,0)),FALSE)</f>
        <v>96.969696969696969</v>
      </c>
    </row>
    <row r="50" spans="1:50">
      <c r="A50" s="55" t="str">
        <f>$D$1&amp;40</f>
        <v>UA40</v>
      </c>
      <c r="B50" s="56">
        <f>IF(ISERROR(VLOOKUP(A50,classifications!A:C,3,FALSE)),0,VLOOKUP(A50,classifications!A:C,3,FALSE))</f>
        <v>0</v>
      </c>
      <c r="C50" t="s">
        <v>26</v>
      </c>
      <c r="D50" t="str">
        <f>VLOOKUP($C50,classifications!$C:$J,4,FALSE)</f>
        <v>SD</v>
      </c>
      <c r="E50">
        <f>VLOOKUP(C50,classifications!C:K,9,FALSE)</f>
        <v>0</v>
      </c>
      <c r="F50">
        <f t="shared" si="0"/>
        <v>100</v>
      </c>
      <c r="G50" s="15"/>
      <c r="H50" s="41" t="str">
        <f t="shared" si="1"/>
        <v/>
      </c>
      <c r="I50" s="73" t="str">
        <f>IF(H50="","",IF($I$8="A",(RANK(H50,H$11:H$333,1)+COUNTIF(H$11:H50,H50)-1),(RANK(H50,H$11:H$333)+COUNTIF(H$11:H50,H50)-1)))</f>
        <v/>
      </c>
      <c r="J50" s="40"/>
      <c r="K50" s="35">
        <f t="shared" si="10"/>
        <v>40</v>
      </c>
      <c r="L50" t="str">
        <f t="shared" si="2"/>
        <v>Central Bedfordshire</v>
      </c>
      <c r="M50" s="109">
        <f t="shared" si="3"/>
        <v>88.461538461538453</v>
      </c>
      <c r="N50" s="104">
        <f t="shared" si="19"/>
        <v>88.461538461538453</v>
      </c>
      <c r="O50" s="89" t="str">
        <f t="shared" si="20"/>
        <v/>
      </c>
      <c r="P50" s="89" t="str">
        <f t="shared" si="21"/>
        <v/>
      </c>
      <c r="Q50" s="89">
        <f t="shared" si="22"/>
        <v>88.461538461538453</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 xml:space="preserve">Predominantly Rural </v>
      </c>
      <c r="Y50">
        <f t="shared" si="26"/>
        <v>88.461538461538453</v>
      </c>
      <c r="Z50" s="39">
        <f>IF(Y50="","",IF(I$8="A",(RANK(Y50,Y$11:Y$333,1)+COUNTIF(Y$11:Y50,Y50)-1),(RANK(Y50,Y$11:Y$333)+COUNTIF(Y$11:Y50,Y50)-1)))</f>
        <v>14</v>
      </c>
      <c r="AA50" s="177" t="str">
        <f>IF(L50="","",VLOOKUP($L50,classifications!C:I,7,FALSE))</f>
        <v>Predominantly Rural</v>
      </c>
      <c r="AB50" s="173" t="str">
        <f t="shared" si="27"/>
        <v/>
      </c>
      <c r="AC50" s="173" t="str">
        <f>IF(AB50="","",IF($I$8="A",(RANK(AB50,AB$11:AB$333)+COUNTIF(AB$11:AB50,AB50)-1),(RANK(AB50,AB$11:AB$333,1)+COUNTIF(AB$11:AB50,AB50)-1)))</f>
        <v/>
      </c>
      <c r="AD50" s="173"/>
      <c r="AE50" s="45">
        <f>IF(I$8="A",(RANK(AG50,AG$11:AG$333,1)+COUNTIF(AG$11:AG50,AG50)-1),(RANK(AG50,AG$11:AG$333)+COUNTIF(AG$11:AG50,AG50)-1))</f>
        <v>39</v>
      </c>
      <c r="AF50" t="str">
        <f>VLOOKUP(Profile!$J$5,Families!$C:$R,2,FALSE)</f>
        <v>Cheshire West &amp; Chester</v>
      </c>
      <c r="AG50" s="15">
        <f t="shared" si="15"/>
        <v>100</v>
      </c>
      <c r="AH50" s="46">
        <f t="shared" si="28"/>
        <v>39</v>
      </c>
      <c r="AI50" s="5" t="str">
        <f>IF(L50="","",VLOOKUP($L50,classifications!$C:$J,8,FALSE))</f>
        <v>Unitary</v>
      </c>
      <c r="AJ50" s="42">
        <f t="shared" si="29"/>
        <v>88.461538461538453</v>
      </c>
      <c r="AK50" s="39">
        <f>IF(AJ50="","",IF(I$8="A",(RANK(AJ50,AJ$11:AJ$333,1)+COUNTIF(AJ$11:AJ50,AJ50)-1),(RANK(AJ50,AJ$11:AJ$333)+COUNTIF(AJ$11:AJ50,AJ50)-1)))</f>
        <v>40</v>
      </c>
      <c r="AL50" s="3">
        <f t="shared" si="16"/>
        <v>40</v>
      </c>
      <c r="AM50" t="str">
        <f t="shared" si="6"/>
        <v>Central Bedfordshire</v>
      </c>
      <c r="AN50">
        <f t="shared" si="7"/>
        <v>88.461538461538453</v>
      </c>
      <c r="AP50" s="5" t="str">
        <f>IF(L50="","",VLOOKUP($L50,classifications!$C:$E,3,FALSE))</f>
        <v>East of England</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UA41</v>
      </c>
      <c r="B51" s="56">
        <f>IF(ISERROR(VLOOKUP(A51,classifications!A:C,3,FALSE)),0,VLOOKUP(A51,classifications!A:C,3,FALSE))</f>
        <v>0</v>
      </c>
      <c r="C51" t="s">
        <v>226</v>
      </c>
      <c r="D51" t="str">
        <f>VLOOKUP($C51,classifications!$C:$J,4,FALSE)</f>
        <v>MD</v>
      </c>
      <c r="E51">
        <f>VLOOKUP(C51,classifications!C:K,9,FALSE)</f>
        <v>0</v>
      </c>
      <c r="F51">
        <f t="shared" si="0"/>
        <v>93.75</v>
      </c>
      <c r="G51" s="15"/>
      <c r="H51" s="41" t="str">
        <f t="shared" si="1"/>
        <v/>
      </c>
      <c r="I51" s="73" t="str">
        <f>IF(H51="","",IF($I$8="A",(RANK(H51,H$11:H$333,1)+COUNTIF(H$11:H51,H51)-1),(RANK(H51,H$11:H$333)+COUNTIF(H$11:H51,H51)-1)))</f>
        <v/>
      </c>
      <c r="J51" s="40"/>
      <c r="K51" s="35">
        <f t="shared" si="10"/>
        <v>41</v>
      </c>
      <c r="L51" t="str">
        <f t="shared" si="2"/>
        <v>Cumberland</v>
      </c>
      <c r="M51" s="109">
        <f t="shared" si="3"/>
        <v>88.235294117647058</v>
      </c>
      <c r="N51" s="104">
        <f t="shared" si="19"/>
        <v>88.235294117647058</v>
      </c>
      <c r="O51" s="89" t="str">
        <f t="shared" si="20"/>
        <v/>
      </c>
      <c r="P51" s="89" t="str">
        <f t="shared" si="21"/>
        <v/>
      </c>
      <c r="Q51" s="89">
        <f t="shared" si="22"/>
        <v>88.235294117647058</v>
      </c>
      <c r="R51" s="85" t="str">
        <f t="shared" si="23"/>
        <v/>
      </c>
      <c r="S51" s="41" t="str">
        <f t="shared" si="24"/>
        <v/>
      </c>
      <c r="T51" s="166" t="str">
        <f>IF(L51="","",VLOOKUP(L51,classifications!C:K,9,FALSE))</f>
        <v>Sparse</v>
      </c>
      <c r="U51" s="167">
        <f t="shared" si="25"/>
        <v>88.235294117647058</v>
      </c>
      <c r="V51" s="173">
        <f>IF(U51="","",IF($I$8="A",(RANK(U51,U$11:U$333)+COUNTIF(U$11:U51,U51)-1),(RANK(U51,U$11:U$333,1)+COUNTIF(U$11:U51,U51)-1)))</f>
        <v>7</v>
      </c>
      <c r="W51" s="174"/>
      <c r="X51" s="5" t="str">
        <f>IF(L51="","",VLOOKUP($L51,classifications!$C:$J,6,FALSE))</f>
        <v xml:space="preserve">Predominantly Rural </v>
      </c>
      <c r="Y51">
        <f t="shared" si="26"/>
        <v>88.235294117647058</v>
      </c>
      <c r="Z51" s="39">
        <f>IF(Y51="","",IF(I$8="A",(RANK(Y51,Y$11:Y$333,1)+COUNTIF(Y$11:Y51,Y51)-1),(RANK(Y51,Y$11:Y$333)+COUNTIF(Y$11:Y51,Y51)-1)))</f>
        <v>15</v>
      </c>
      <c r="AA51" s="177" t="str">
        <f>IF(L51="","",VLOOKUP($L51,classifications!C:I,7,FALSE))</f>
        <v>Predominantly Rural</v>
      </c>
      <c r="AB51" s="173" t="str">
        <f t="shared" si="27"/>
        <v/>
      </c>
      <c r="AC51" s="173" t="str">
        <f>IF(AB51="","",IF($I$8="A",(RANK(AB51,AB$11:AB$333)+COUNTIF(AB$11:AB51,AB51)-1),(RANK(AB51,AB$11:AB$333,1)+COUNTIF(AB$11:AB51,AB51)-1)))</f>
        <v/>
      </c>
      <c r="AD51" s="173"/>
      <c r="AE51" s="45">
        <f>IF(I$8="A",(RANK(AG51,AG$11:AG$333,1)+COUNTIF(AG$11:AG51,AG51)-1),(RANK(AG51,AG$11:AG$333)+COUNTIF(AG$11:AG51,AG51)-1))</f>
        <v>40</v>
      </c>
      <c r="AF51" t="str">
        <f>VLOOKUP(Profile!$J$5,Families!$C:$R,2,FALSE)</f>
        <v>Cheshire West &amp; Chester</v>
      </c>
      <c r="AG51" s="15">
        <f t="shared" si="15"/>
        <v>100</v>
      </c>
      <c r="AH51" s="46">
        <f t="shared" si="28"/>
        <v>40</v>
      </c>
      <c r="AI51" s="5" t="str">
        <f>IF(L51="","",VLOOKUP($L51,classifications!$C:$J,8,FALSE))</f>
        <v>Unitary</v>
      </c>
      <c r="AJ51" s="42">
        <f t="shared" si="29"/>
        <v>88.235294117647058</v>
      </c>
      <c r="AK51" s="39">
        <f>IF(AJ51="","",IF(I$8="A",(RANK(AJ51,AJ$11:AJ$333,1)+COUNTIF(AJ$11:AJ51,AJ51)-1),(RANK(AJ51,AJ$11:AJ$333)+COUNTIF(AJ$11:AJ51,AJ51)-1)))</f>
        <v>41</v>
      </c>
      <c r="AL51" s="3">
        <f t="shared" si="16"/>
        <v>41</v>
      </c>
      <c r="AM51" t="str">
        <f t="shared" si="6"/>
        <v>Cumberland</v>
      </c>
      <c r="AN51">
        <f t="shared" si="7"/>
        <v>88.235294117647058</v>
      </c>
      <c r="AP51" s="5" t="str">
        <f>IF(L51="","",VLOOKUP($L51,classifications!$C:$E,3,FALSE))</f>
        <v>North West</v>
      </c>
      <c r="AQ51" s="42">
        <f t="shared" si="30"/>
        <v>88.235294117647058</v>
      </c>
      <c r="AR51" s="39">
        <f>IF(AQ51="","",IF(I$8="A",(RANK(AQ51,AQ$11:AQ$333,1)+COUNTIF(AQ$11:AQ51,AQ51)-1),(RANK(AQ51,AQ$11:AQ$333)+COUNTIF(AQ$11:AQ51,AQ51)-1)))</f>
        <v>7</v>
      </c>
      <c r="AS51" s="3" t="str">
        <f t="shared" si="18"/>
        <v/>
      </c>
      <c r="AT51" s="39" t="str">
        <f t="shared" si="8"/>
        <v/>
      </c>
      <c r="AU51" s="42" t="str">
        <f t="shared" si="9"/>
        <v/>
      </c>
      <c r="AX51">
        <f>HLOOKUP($AX$9&amp;$AX$10,Data!$A$1:$ZT$1975,(MATCH($C51,Data!$A$1:$A$1975,0)),FALSE)</f>
        <v>93.75</v>
      </c>
    </row>
    <row r="52" spans="1:50">
      <c r="A52" s="55" t="str">
        <f>$D$1&amp;42</f>
        <v>UA42</v>
      </c>
      <c r="B52" s="56">
        <f>IF(ISERROR(VLOOKUP(A52,classifications!A:C,3,FALSE)),0,VLOOKUP(A52,classifications!A:C,3,FALSE))</f>
        <v>0</v>
      </c>
      <c r="C52" t="s">
        <v>227</v>
      </c>
      <c r="D52" t="str">
        <f>VLOOKUP($C52,classifications!$C:$J,4,FALSE)</f>
        <v>MD</v>
      </c>
      <c r="E52">
        <f>VLOOKUP(C52,classifications!C:K,9,FALSE)</f>
        <v>0</v>
      </c>
      <c r="F52">
        <f t="shared" si="0"/>
        <v>100</v>
      </c>
      <c r="G52" s="15"/>
      <c r="H52" s="41" t="str">
        <f t="shared" si="1"/>
        <v/>
      </c>
      <c r="I52" s="73" t="str">
        <f>IF(H52="","",IF($I$8="A",(RANK(H52,H$11:H$333,1)+COUNTIF(H$11:H52,H52)-1),(RANK(H52,H$11:H$333)+COUNTIF(H$11:H52,H52)-1)))</f>
        <v/>
      </c>
      <c r="J52" s="40"/>
      <c r="K52" s="35">
        <f t="shared" si="10"/>
        <v>42</v>
      </c>
      <c r="L52" t="str">
        <f t="shared" si="2"/>
        <v>Cornwall</v>
      </c>
      <c r="M52" s="109">
        <f t="shared" si="3"/>
        <v>87.878787878787875</v>
      </c>
      <c r="N52" s="104">
        <f t="shared" si="19"/>
        <v>87.878787878787875</v>
      </c>
      <c r="O52" s="89" t="str">
        <f t="shared" si="20"/>
        <v/>
      </c>
      <c r="P52" s="89" t="str">
        <f t="shared" si="21"/>
        <v/>
      </c>
      <c r="Q52" s="89">
        <f t="shared" si="22"/>
        <v>87.878787878787875</v>
      </c>
      <c r="R52" s="85" t="str">
        <f t="shared" si="23"/>
        <v/>
      </c>
      <c r="S52" s="41" t="str">
        <f t="shared" si="24"/>
        <v/>
      </c>
      <c r="T52" s="166" t="str">
        <f>IF(L52="","",VLOOKUP(L52,classifications!C:K,9,FALSE))</f>
        <v>Sparse</v>
      </c>
      <c r="U52" s="167">
        <f t="shared" si="25"/>
        <v>87.878787878787875</v>
      </c>
      <c r="V52" s="173">
        <f>IF(U52="","",IF($I$8="A",(RANK(U52,U$11:U$333)+COUNTIF(U$11:U52,U52)-1),(RANK(U52,U$11:U$333,1)+COUNTIF(U$11:U52,U52)-1)))</f>
        <v>6</v>
      </c>
      <c r="W52" s="174"/>
      <c r="X52" s="5" t="str">
        <f>IF(L52="","",VLOOKUP($L52,classifications!$C:$J,6,FALSE))</f>
        <v xml:space="preserve">Predominantly Rural </v>
      </c>
      <c r="Y52">
        <f t="shared" si="26"/>
        <v>87.878787878787875</v>
      </c>
      <c r="Z52" s="39">
        <f>IF(Y52="","",IF(I$8="A",(RANK(Y52,Y$11:Y$333,1)+COUNTIF(Y$11:Y52,Y52)-1),(RANK(Y52,Y$11:Y$333)+COUNTIF(Y$11:Y52,Y52)-1)))</f>
        <v>16</v>
      </c>
      <c r="AA52" s="177" t="str">
        <f>IF(L52="","",VLOOKUP($L52,classifications!C:I,7,FALSE))</f>
        <v>Predominantly Rural</v>
      </c>
      <c r="AB52" s="173" t="str">
        <f t="shared" si="27"/>
        <v/>
      </c>
      <c r="AC52" s="173" t="str">
        <f>IF(AB52="","",IF($I$8="A",(RANK(AB52,AB$11:AB$333)+COUNTIF(AB$11:AB52,AB52)-1),(RANK(AB52,AB$11:AB$333,1)+COUNTIF(AB$11:AB52,AB52)-1)))</f>
        <v/>
      </c>
      <c r="AD52" s="173"/>
      <c r="AE52" s="45">
        <f>IF(I$8="A",(RANK(AG52,AG$11:AG$333,1)+COUNTIF(AG$11:AG52,AG52)-1),(RANK(AG52,AG$11:AG$333)+COUNTIF(AG$11:AG52,AG52)-1))</f>
        <v>41</v>
      </c>
      <c r="AF52" t="str">
        <f>VLOOKUP(Profile!$J$5,Families!$C:$R,2,FALSE)</f>
        <v>Cheshire West &amp; Chester</v>
      </c>
      <c r="AG52" s="15">
        <f t="shared" si="15"/>
        <v>100</v>
      </c>
      <c r="AH52" s="46">
        <f t="shared" si="28"/>
        <v>41</v>
      </c>
      <c r="AI52" s="5" t="str">
        <f>IF(L52="","",VLOOKUP($L52,classifications!$C:$J,8,FALSE))</f>
        <v>Unitary</v>
      </c>
      <c r="AJ52" s="42">
        <f t="shared" si="29"/>
        <v>87.878787878787875</v>
      </c>
      <c r="AK52" s="39">
        <f>IF(AJ52="","",IF(I$8="A",(RANK(AJ52,AJ$11:AJ$333,1)+COUNTIF(AJ$11:AJ52,AJ52)-1),(RANK(AJ52,AJ$11:AJ$333)+COUNTIF(AJ$11:AJ52,AJ52)-1)))</f>
        <v>42</v>
      </c>
      <c r="AL52" s="3">
        <f t="shared" si="16"/>
        <v>42</v>
      </c>
      <c r="AM52" t="str">
        <f t="shared" si="6"/>
        <v>Cornwall</v>
      </c>
      <c r="AN52">
        <f t="shared" si="7"/>
        <v>87.878787878787875</v>
      </c>
      <c r="AP52" s="5" t="str">
        <f>IF(L52="","",VLOOKUP($L52,classifications!$C:$E,3,FALSE))</f>
        <v>South West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100</v>
      </c>
    </row>
    <row r="53" spans="1:50">
      <c r="A53" s="55" t="str">
        <f>$D$1&amp;43</f>
        <v>UA43</v>
      </c>
      <c r="B53" s="56">
        <f>IF(ISERROR(VLOOKUP(A53,classifications!A:C,3,FALSE)),0,VLOOKUP(A53,classifications!A:C,3,FALSE))</f>
        <v>0</v>
      </c>
      <c r="C53" t="s">
        <v>27</v>
      </c>
      <c r="D53" t="str">
        <f>VLOOKUP($C53,classifications!$C:$J,4,FALSE)</f>
        <v>SD</v>
      </c>
      <c r="E53">
        <f>VLOOKUP(C53,classifications!C:K,9,FALSE)</f>
        <v>0</v>
      </c>
      <c r="F53">
        <f t="shared" si="0"/>
        <v>100</v>
      </c>
      <c r="G53" s="15"/>
      <c r="H53" s="41" t="str">
        <f t="shared" si="1"/>
        <v/>
      </c>
      <c r="I53" s="73" t="str">
        <f>IF(H53="","",IF($I$8="A",(RANK(H53,H$11:H$333,1)+COUNTIF(H$11:H53,H53)-1),(RANK(H53,H$11:H$333)+COUNTIF(H$11:H53,H53)-1)))</f>
        <v/>
      </c>
      <c r="J53" s="40"/>
      <c r="K53" s="35">
        <f t="shared" si="10"/>
        <v>43</v>
      </c>
      <c r="L53" t="str">
        <f t="shared" si="2"/>
        <v>Bristol</v>
      </c>
      <c r="M53" s="109">
        <f t="shared" si="3"/>
        <v>87.5</v>
      </c>
      <c r="N53" s="104">
        <f t="shared" si="19"/>
        <v>87.5</v>
      </c>
      <c r="O53" s="89" t="str">
        <f t="shared" si="20"/>
        <v/>
      </c>
      <c r="P53" s="89" t="str">
        <f t="shared" si="21"/>
        <v/>
      </c>
      <c r="Q53" s="89">
        <f t="shared" si="22"/>
        <v>87.5</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f>IF(I$8="A",(RANK(AG53,AG$11:AG$333,1)+COUNTIF(AG$11:AG53,AG53)-1),(RANK(AG53,AG$11:AG$333)+COUNTIF(AG$11:AG53,AG53)-1))</f>
        <v>42</v>
      </c>
      <c r="AF53" t="str">
        <f>VLOOKUP(Profile!$J$5,Families!$C:$R,2,FALSE)</f>
        <v>Cheshire West &amp; Chester</v>
      </c>
      <c r="AG53" s="15">
        <f t="shared" si="15"/>
        <v>100</v>
      </c>
      <c r="AH53" s="46">
        <f t="shared" si="28"/>
        <v>42</v>
      </c>
      <c r="AI53" s="5" t="str">
        <f>IF(L53="","",VLOOKUP($L53,classifications!$C:$J,8,FALSE))</f>
        <v>Unitary</v>
      </c>
      <c r="AJ53" s="42">
        <f t="shared" si="29"/>
        <v>87.5</v>
      </c>
      <c r="AK53" s="39">
        <f>IF(AJ53="","",IF(I$8="A",(RANK(AJ53,AJ$11:AJ$333,1)+COUNTIF(AJ$11:AJ53,AJ53)-1),(RANK(AJ53,AJ$11:AJ$333)+COUNTIF(AJ$11:AJ53,AJ53)-1)))</f>
        <v>43</v>
      </c>
      <c r="AL53" s="3">
        <f t="shared" si="16"/>
        <v>43</v>
      </c>
      <c r="AM53" t="str">
        <f t="shared" si="6"/>
        <v>Bristol</v>
      </c>
      <c r="AN53">
        <f t="shared" si="7"/>
        <v>87.5</v>
      </c>
      <c r="AP53" s="5" t="str">
        <f>IF(L53="","",VLOOKUP($L53,classifications!$C:$E,3,FALSE))</f>
        <v>South West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100</v>
      </c>
    </row>
    <row r="54" spans="1:50">
      <c r="A54" s="55" t="str">
        <f>$D$1&amp;44</f>
        <v>UA44</v>
      </c>
      <c r="B54" s="56">
        <f>IF(ISERROR(VLOOKUP(A54,classifications!A:C,3,FALSE)),0,VLOOKUP(A54,classifications!A:C,3,FALSE))</f>
        <v>0</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Middlesbrough</v>
      </c>
      <c r="M54" s="109">
        <f t="shared" si="3"/>
        <v>87.5</v>
      </c>
      <c r="N54" s="104">
        <f t="shared" si="19"/>
        <v>87.5</v>
      </c>
      <c r="O54" s="89" t="str">
        <f t="shared" si="20"/>
        <v/>
      </c>
      <c r="P54" s="89" t="str">
        <f t="shared" si="21"/>
        <v/>
      </c>
      <c r="Q54" s="89">
        <f t="shared" si="22"/>
        <v>87.5</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f>IF(I$8="A",(RANK(AG54,AG$11:AG$333,1)+COUNTIF(AG$11:AG54,AG54)-1),(RANK(AG54,AG$11:AG$333)+COUNTIF(AG$11:AG54,AG54)-1))</f>
        <v>43</v>
      </c>
      <c r="AF54" t="str">
        <f>VLOOKUP(Profile!$J$5,Families!$C:$R,2,FALSE)</f>
        <v>Cheshire West &amp; Chester</v>
      </c>
      <c r="AG54" s="15">
        <f t="shared" si="15"/>
        <v>100</v>
      </c>
      <c r="AH54" s="46">
        <f t="shared" si="28"/>
        <v>43</v>
      </c>
      <c r="AI54" s="5" t="str">
        <f>IF(L54="","",VLOOKUP($L54,classifications!$C:$J,8,FALSE))</f>
        <v>Unitary</v>
      </c>
      <c r="AJ54" s="42">
        <f t="shared" si="29"/>
        <v>87.5</v>
      </c>
      <c r="AK54" s="39">
        <f>IF(AJ54="","",IF(I$8="A",(RANK(AJ54,AJ$11:AJ$333,1)+COUNTIF(AJ$11:AJ54,AJ54)-1),(RANK(AJ54,AJ$11:AJ$333)+COUNTIF(AJ$11:AJ54,AJ54)-1)))</f>
        <v>44</v>
      </c>
      <c r="AL54" s="3">
        <f t="shared" si="16"/>
        <v>44</v>
      </c>
      <c r="AM54" t="str">
        <f t="shared" si="6"/>
        <v>Middlesbrough</v>
      </c>
      <c r="AN54">
        <f t="shared" si="7"/>
        <v>87.5</v>
      </c>
      <c r="AP54" s="5" t="str">
        <f>IF(L54="","",VLOOKUP($L54,classifications!$C:$E,3,FALSE))</f>
        <v>NE</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UA45</v>
      </c>
      <c r="B55" s="56">
        <f>IF(ISERROR(VLOOKUP(A55,classifications!A:C,3,FALSE)),0,VLOOKUP(A55,classifications!A:C,3,FALSE))</f>
        <v>0</v>
      </c>
      <c r="C55" t="s">
        <v>200</v>
      </c>
      <c r="D55" t="str">
        <f>VLOOKUP($C55,classifications!$C:$J,4,FALSE)</f>
        <v>L</v>
      </c>
      <c r="E55">
        <f>VLOOKUP(C55,classifications!C:K,9,FALSE)</f>
        <v>0</v>
      </c>
      <c r="F55">
        <f t="shared" si="0"/>
        <v>50</v>
      </c>
      <c r="G55" s="15"/>
      <c r="H55" s="41" t="str">
        <f t="shared" si="1"/>
        <v/>
      </c>
      <c r="I55" s="73" t="str">
        <f>IF(H55="","",IF($I$8="A",(RANK(H55,H$11:H$333,1)+COUNTIF(H$11:H55,H55)-1),(RANK(H55,H$11:H$333)+COUNTIF(H$11:H55,H55)-1)))</f>
        <v/>
      </c>
      <c r="J55" s="40"/>
      <c r="K55" s="35">
        <f t="shared" si="10"/>
        <v>45</v>
      </c>
      <c r="L55" t="str">
        <f t="shared" si="2"/>
        <v>Northumberland</v>
      </c>
      <c r="M55" s="109">
        <f t="shared" si="3"/>
        <v>87.5</v>
      </c>
      <c r="N55" s="104">
        <f t="shared" si="19"/>
        <v>87.5</v>
      </c>
      <c r="O55" s="89" t="str">
        <f t="shared" si="20"/>
        <v/>
      </c>
      <c r="P55" s="89" t="str">
        <f t="shared" si="21"/>
        <v/>
      </c>
      <c r="Q55" s="89">
        <f t="shared" si="22"/>
        <v>87.5</v>
      </c>
      <c r="R55" s="85" t="str">
        <f t="shared" si="23"/>
        <v/>
      </c>
      <c r="S55" s="41" t="str">
        <f t="shared" si="24"/>
        <v/>
      </c>
      <c r="T55" s="166" t="str">
        <f>IF(L55="","",VLOOKUP(L55,classifications!C:K,9,FALSE))</f>
        <v>Sparse</v>
      </c>
      <c r="U55" s="167">
        <f t="shared" si="25"/>
        <v>87.5</v>
      </c>
      <c r="V55" s="173">
        <f>IF(U55="","",IF($I$8="A",(RANK(U55,U$11:U$333)+COUNTIF(U$11:U55,U55)-1),(RANK(U55,U$11:U$333,1)+COUNTIF(U$11:U55,U55)-1)))</f>
        <v>5</v>
      </c>
      <c r="W55" s="174"/>
      <c r="X55" s="5" t="str">
        <f>IF(L55="","",VLOOKUP($L55,classifications!$C:$J,6,FALSE))</f>
        <v xml:space="preserve">Predominantly Rural </v>
      </c>
      <c r="Y55">
        <f t="shared" si="26"/>
        <v>87.5</v>
      </c>
      <c r="Z55" s="39">
        <f>IF(Y55="","",IF(I$8="A",(RANK(Y55,Y$11:Y$333,1)+COUNTIF(Y$11:Y55,Y55)-1),(RANK(Y55,Y$11:Y$333)+COUNTIF(Y$11:Y55,Y55)-1)))</f>
        <v>17</v>
      </c>
      <c r="AA55" s="177" t="str">
        <f>IF(L55="","",VLOOKUP($L55,classifications!C:I,7,FALSE))</f>
        <v>Predominantly Rural</v>
      </c>
      <c r="AB55" s="173" t="str">
        <f t="shared" si="27"/>
        <v/>
      </c>
      <c r="AC55" s="173" t="str">
        <f>IF(AB55="","",IF($I$8="A",(RANK(AB55,AB$11:AB$333)+COUNTIF(AB$11:AB55,AB55)-1),(RANK(AB55,AB$11:AB$333,1)+COUNTIF(AB$11:AB55,AB55)-1)))</f>
        <v/>
      </c>
      <c r="AD55" s="173"/>
      <c r="AE55" s="45">
        <f>IF(I$8="A",(RANK(AG55,AG$11:AG$333,1)+COUNTIF(AG$11:AG55,AG55)-1),(RANK(AG55,AG$11:AG$333)+COUNTIF(AG$11:AG55,AG55)-1))</f>
        <v>44</v>
      </c>
      <c r="AF55" t="str">
        <f>VLOOKUP(Profile!$J$5,Families!$C:$R,2,FALSE)</f>
        <v>Cheshire West &amp; Chester</v>
      </c>
      <c r="AG55" s="15">
        <f t="shared" si="15"/>
        <v>100</v>
      </c>
      <c r="AH55" s="46">
        <f t="shared" si="28"/>
        <v>44</v>
      </c>
      <c r="AI55" s="5" t="str">
        <f>IF(L55="","",VLOOKUP($L55,classifications!$C:$J,8,FALSE))</f>
        <v>Unitary</v>
      </c>
      <c r="AJ55" s="42">
        <f t="shared" si="29"/>
        <v>87.5</v>
      </c>
      <c r="AK55" s="39">
        <f>IF(AJ55="","",IF(I$8="A",(RANK(AJ55,AJ$11:AJ$333,1)+COUNTIF(AJ$11:AJ55,AJ55)-1),(RANK(AJ55,AJ$11:AJ$333)+COUNTIF(AJ$11:AJ55,AJ55)-1)))</f>
        <v>45</v>
      </c>
      <c r="AL55" s="3">
        <f t="shared" si="16"/>
        <v>45</v>
      </c>
      <c r="AM55" t="str">
        <f t="shared" si="6"/>
        <v>Northumberland</v>
      </c>
      <c r="AN55">
        <f t="shared" si="7"/>
        <v>87.5</v>
      </c>
      <c r="AP55" s="5" t="str">
        <f>IF(L55="","",VLOOKUP($L55,classifications!$C:$E,3,FALSE))</f>
        <v>NE</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50</v>
      </c>
    </row>
    <row r="56" spans="1:50">
      <c r="A56" s="55" t="str">
        <f>$D$1&amp;46</f>
        <v>UA46</v>
      </c>
      <c r="B56" s="56">
        <f>IF(ISERROR(VLOOKUP(A56,classifications!A:C,3,FALSE)),0,VLOOKUP(A56,classifications!A:C,3,FALSE))</f>
        <v>0</v>
      </c>
      <c r="C56" t="s">
        <v>28</v>
      </c>
      <c r="D56" t="str">
        <f>VLOOKUP($C56,classifications!$C:$J,4,FALSE)</f>
        <v>SD</v>
      </c>
      <c r="E56">
        <f>VLOOKUP(C56,classifications!C:K,9,FALSE)</f>
        <v>0</v>
      </c>
      <c r="F56">
        <f t="shared" si="0"/>
        <v>66.666666666666657</v>
      </c>
      <c r="G56" s="15"/>
      <c r="H56" s="41" t="str">
        <f t="shared" si="1"/>
        <v/>
      </c>
      <c r="I56" s="73" t="str">
        <f>IF(H56="","",IF($I$8="A",(RANK(H56,H$11:H$333,1)+COUNTIF(H$11:H56,H56)-1),(RANK(H56,H$11:H$333)+COUNTIF(H$11:H56,H56)-1)))</f>
        <v/>
      </c>
      <c r="J56" s="40"/>
      <c r="K56" s="35">
        <f t="shared" si="10"/>
        <v>46</v>
      </c>
      <c r="L56" t="str">
        <f t="shared" si="2"/>
        <v>Dorset</v>
      </c>
      <c r="M56" s="109">
        <f t="shared" si="3"/>
        <v>85.714285714285708</v>
      </c>
      <c r="N56" s="104">
        <f t="shared" si="19"/>
        <v>85.714285714285708</v>
      </c>
      <c r="O56" s="89" t="str">
        <f t="shared" si="20"/>
        <v/>
      </c>
      <c r="P56" s="89" t="str">
        <f t="shared" si="21"/>
        <v/>
      </c>
      <c r="Q56" s="89">
        <f t="shared" si="22"/>
        <v>85.714285714285708</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Rural</v>
      </c>
      <c r="Y56" t="str">
        <f t="shared" si="26"/>
        <v/>
      </c>
      <c r="Z56" s="39" t="str">
        <f>IF(Y56="","",IF(I$8="A",(RANK(Y56,Y$11:Y$333,1)+COUNTIF(Y$11:Y56,Y56)-1),(RANK(Y56,Y$11:Y$333)+COUNTIF(Y$11:Y56,Y56)-1)))</f>
        <v/>
      </c>
      <c r="AA56" s="177" t="str">
        <f>IF(L56="","",VLOOKUP($L56,classifications!C:I,7,FALSE))</f>
        <v>Predominantly Rural</v>
      </c>
      <c r="AB56" s="173" t="str">
        <f t="shared" si="27"/>
        <v/>
      </c>
      <c r="AC56" s="173" t="str">
        <f>IF(AB56="","",IF($I$8="A",(RANK(AB56,AB$11:AB$333)+COUNTIF(AB$11:AB56,AB56)-1),(RANK(AB56,AB$11:AB$333,1)+COUNTIF(AB$11:AB56,AB56)-1)))</f>
        <v/>
      </c>
      <c r="AD56" s="173"/>
      <c r="AE56" s="45">
        <f>IF(I$8="A",(RANK(AG56,AG$11:AG$333,1)+COUNTIF(AG$11:AG56,AG56)-1),(RANK(AG56,AG$11:AG$333)+COUNTIF(AG$11:AG56,AG56)-1))</f>
        <v>45</v>
      </c>
      <c r="AF56" t="str">
        <f>VLOOKUP(Profile!$J$5,Families!$C:$R,2,FALSE)</f>
        <v>Cheshire West &amp; Chester</v>
      </c>
      <c r="AG56" s="15">
        <f t="shared" si="15"/>
        <v>100</v>
      </c>
      <c r="AH56" s="46">
        <f t="shared" si="28"/>
        <v>45</v>
      </c>
      <c r="AI56" s="5" t="str">
        <f>IF(L56="","",VLOOKUP($L56,classifications!$C:$J,8,FALSE))</f>
        <v>Unitary</v>
      </c>
      <c r="AJ56" s="42">
        <f t="shared" si="29"/>
        <v>85.714285714285708</v>
      </c>
      <c r="AK56" s="39">
        <f>IF(AJ56="","",IF(I$8="A",(RANK(AJ56,AJ$11:AJ$333,1)+COUNTIF(AJ$11:AJ56,AJ56)-1),(RANK(AJ56,AJ$11:AJ$333)+COUNTIF(AJ$11:AJ56,AJ56)-1)))</f>
        <v>46</v>
      </c>
      <c r="AL56" s="3">
        <f t="shared" si="16"/>
        <v>46</v>
      </c>
      <c r="AM56" t="str">
        <f t="shared" si="6"/>
        <v>Dorset</v>
      </c>
      <c r="AN56">
        <f t="shared" si="7"/>
        <v>85.714285714285708</v>
      </c>
      <c r="AP56" s="5" t="str">
        <f>IF(L56="","",VLOOKUP($L56,classifications!$C:$E,3,FALSE))</f>
        <v>South West</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66.666666666666657</v>
      </c>
    </row>
    <row r="57" spans="1:50">
      <c r="A57" s="55" t="str">
        <f>$D$1&amp;47</f>
        <v>UA47</v>
      </c>
      <c r="B57" s="56">
        <f>IF(ISERROR(VLOOKUP(A57,classifications!A:C,3,FALSE)),0,VLOOKUP(A57,classifications!A:C,3,FALSE))</f>
        <v>0</v>
      </c>
      <c r="C57" t="s">
        <v>29</v>
      </c>
      <c r="D57" t="str">
        <f>VLOOKUP($C57,classifications!$C:$J,4,FALSE)</f>
        <v>SD</v>
      </c>
      <c r="E57">
        <f>VLOOKUP(C57,classifications!C:K,9,FALSE)</f>
        <v>0</v>
      </c>
      <c r="F57">
        <f t="shared" si="0"/>
        <v>88.888888888888886</v>
      </c>
      <c r="G57" s="15"/>
      <c r="H57" s="41" t="str">
        <f t="shared" si="1"/>
        <v/>
      </c>
      <c r="I57" s="73" t="str">
        <f>IF(H57="","",IF($I$8="A",(RANK(H57,H$11:H$333,1)+COUNTIF(H$11:H57,H57)-1),(RANK(H57,H$11:H$333)+COUNTIF(H$11:H57,H57)-1)))</f>
        <v/>
      </c>
      <c r="J57" s="40"/>
      <c r="K57" s="35">
        <f t="shared" si="10"/>
        <v>47</v>
      </c>
      <c r="L57" t="str">
        <f t="shared" si="2"/>
        <v>Windsor &amp; Maidenhead</v>
      </c>
      <c r="M57" s="109">
        <f t="shared" si="3"/>
        <v>85.714285714285708</v>
      </c>
      <c r="N57" s="104">
        <f t="shared" si="19"/>
        <v>85.714285714285708</v>
      </c>
      <c r="O57" s="89" t="str">
        <f t="shared" si="20"/>
        <v/>
      </c>
      <c r="P57" s="89" t="str">
        <f t="shared" si="21"/>
        <v/>
      </c>
      <c r="Q57" s="89">
        <f t="shared" si="22"/>
        <v>85.714285714285708</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f>IF(I$8="A",(RANK(AG57,AG$11:AG$333,1)+COUNTIF(AG$11:AG57,AG57)-1),(RANK(AG57,AG$11:AG$333)+COUNTIF(AG$11:AG57,AG57)-1))</f>
        <v>46</v>
      </c>
      <c r="AF57" t="str">
        <f>VLOOKUP(Profile!$J$5,Families!$C:$R,2,FALSE)</f>
        <v>Cheshire West &amp; Chester</v>
      </c>
      <c r="AG57" s="15">
        <f t="shared" si="15"/>
        <v>100</v>
      </c>
      <c r="AH57" s="46">
        <f t="shared" si="28"/>
        <v>46</v>
      </c>
      <c r="AI57" s="5" t="str">
        <f>IF(L57="","",VLOOKUP($L57,classifications!$C:$J,8,FALSE))</f>
        <v>Unitary</v>
      </c>
      <c r="AJ57" s="42">
        <f t="shared" si="29"/>
        <v>85.714285714285708</v>
      </c>
      <c r="AK57" s="39">
        <f>IF(AJ57="","",IF(I$8="A",(RANK(AJ57,AJ$11:AJ$333,1)+COUNTIF(AJ$11:AJ57,AJ57)-1),(RANK(AJ57,AJ$11:AJ$333)+COUNTIF(AJ$11:AJ57,AJ57)-1)))</f>
        <v>47</v>
      </c>
      <c r="AL57" s="3">
        <f t="shared" si="16"/>
        <v>47</v>
      </c>
      <c r="AM57" t="str">
        <f t="shared" si="6"/>
        <v>Windsor &amp; Maidenhead</v>
      </c>
      <c r="AN57">
        <f t="shared" si="7"/>
        <v>85.714285714285708</v>
      </c>
      <c r="AP57" s="5" t="str">
        <f>IF(L57="","",VLOOKUP($L57,classifications!$C:$E,3,FALSE))</f>
        <v>South East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88.888888888888886</v>
      </c>
    </row>
    <row r="58" spans="1:50">
      <c r="A58" s="55" t="str">
        <f>$D$1&amp;48</f>
        <v>UA48</v>
      </c>
      <c r="B58" s="56">
        <f>IF(ISERROR(VLOOKUP(A58,classifications!A:C,3,FALSE)),0,VLOOKUP(A58,classifications!A:C,3,FALSE))</f>
        <v>0</v>
      </c>
      <c r="C58" t="s">
        <v>31</v>
      </c>
      <c r="D58" t="str">
        <f>VLOOKUP($C58,classifications!$C:$J,4,FALSE)</f>
        <v>SD</v>
      </c>
      <c r="E58">
        <f>VLOOKUP(C58,classifications!C:K,9,FALSE)</f>
        <v>0</v>
      </c>
      <c r="F58">
        <f t="shared" si="0"/>
        <v>66.666666666666657</v>
      </c>
      <c r="G58" s="15"/>
      <c r="H58" s="41" t="str">
        <f t="shared" si="1"/>
        <v/>
      </c>
      <c r="I58" s="73" t="str">
        <f>IF(H58="","",IF($I$8="A",(RANK(H58,H$11:H$333,1)+COUNTIF(H$11:H58,H58)-1),(RANK(H58,H$11:H$333)+COUNTIF(H$11:H58,H58)-1)))</f>
        <v/>
      </c>
      <c r="J58" s="40"/>
      <c r="K58" s="35">
        <f t="shared" si="10"/>
        <v>48</v>
      </c>
      <c r="L58" t="str">
        <f t="shared" si="2"/>
        <v>Luton</v>
      </c>
      <c r="M58" s="109">
        <f t="shared" si="3"/>
        <v>83.333333333333343</v>
      </c>
      <c r="N58" s="104">
        <f t="shared" ref="N58:N121" si="31">IF(L58="","",IF($H$8="%%",M58*100,M58))</f>
        <v>83.333333333333343</v>
      </c>
      <c r="O58" s="89" t="str">
        <f t="shared" ref="O58:O121" si="32">IF(I$8="A",IF(N58&gt;=$P$7,IF(N58&lt;=$O$10,N58,""),""),IF(N58&lt;=$P$7,IF(N58&gt;=$O$10,N58,""),""))</f>
        <v/>
      </c>
      <c r="P58" s="89" t="str">
        <f t="shared" ref="P58:P121" si="33">IF(I$8="A",IF(N58&gt;$O$10,IF(N58&lt;=$P$10,N58,""),""),IF(N58&lt;$O$10,IF(N58&gt;=$P$10,N58,""),""))</f>
        <v/>
      </c>
      <c r="Q58" s="89" t="str">
        <f t="shared" ref="Q58:Q121" si="34">IF(I$8="A",IF(N58&gt;$P$10,IF(N58&lt;=$Q$10,N58,""),""),IF(N58&lt;$P$10,IF(N58&gt;=$Q$10,N58,""),""))</f>
        <v/>
      </c>
      <c r="R58" s="85">
        <f t="shared" ref="R58:R121" si="35">IF(I$8="A",IF(N58&gt;$Q$10,N58,""),IF(N58&lt;$Q$10,N58,""))</f>
        <v>83.333333333333343</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f>IF(I$8="A",(RANK(AG58,AG$11:AG$333,1)+COUNTIF(AG$11:AG58,AG58)-1),(RANK(AG58,AG$11:AG$333)+COUNTIF(AG$11:AG58,AG58)-1))</f>
        <v>47</v>
      </c>
      <c r="AF58" t="str">
        <f>VLOOKUP(Profile!$J$5,Families!$C:$R,2,FALSE)</f>
        <v>Cheshire West &amp; Chester</v>
      </c>
      <c r="AG58" s="15">
        <f t="shared" si="15"/>
        <v>100</v>
      </c>
      <c r="AH58" s="46">
        <f t="shared" ref="AH58:AH121" si="40">AE58</f>
        <v>47</v>
      </c>
      <c r="AI58" s="5" t="str">
        <f>IF(L58="","",VLOOKUP($L58,classifications!$C:$J,8,FALSE))</f>
        <v>Unitary</v>
      </c>
      <c r="AJ58" s="42">
        <f t="shared" ref="AJ58:AJ121" si="41">IF(AI58=$I$3,M58,"")</f>
        <v>83.333333333333343</v>
      </c>
      <c r="AK58" s="39">
        <f>IF(AJ58="","",IF(I$8="A",(RANK(AJ58,AJ$11:AJ$333,1)+COUNTIF(AJ$11:AJ58,AJ58)-1),(RANK(AJ58,AJ$11:AJ$333)+COUNTIF(AJ$11:AJ58,AJ58)-1)))</f>
        <v>48</v>
      </c>
      <c r="AL58" s="3">
        <f t="shared" si="16"/>
        <v>48</v>
      </c>
      <c r="AM58" t="str">
        <f t="shared" si="6"/>
        <v>Luton</v>
      </c>
      <c r="AN58">
        <f t="shared" si="7"/>
        <v>83.333333333333343</v>
      </c>
      <c r="AP58" s="5" t="str">
        <f>IF(L58="","",VLOOKUP($L58,classifications!$C:$E,3,FALSE))</f>
        <v>East of England</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66.666666666666657</v>
      </c>
    </row>
    <row r="59" spans="1:50">
      <c r="A59" s="55" t="str">
        <f>$D$1&amp;49</f>
        <v>UA49</v>
      </c>
      <c r="B59" s="56">
        <f>IF(ISERROR(VLOOKUP(A59,classifications!A:C,3,FALSE)),0,VLOOKUP(A59,classifications!A:C,3,FALSE))</f>
        <v>0</v>
      </c>
      <c r="C59" t="s">
        <v>303</v>
      </c>
      <c r="D59" t="str">
        <f>VLOOKUP($C59,classifications!$C:$J,4,FALSE)</f>
        <v>UA</v>
      </c>
      <c r="E59">
        <f>VLOOKUP(C59,classifications!C:K,9,FALSE)</f>
        <v>0</v>
      </c>
      <c r="F59">
        <f t="shared" si="0"/>
        <v>88.461538461538453</v>
      </c>
      <c r="G59" s="15"/>
      <c r="H59" s="41">
        <f t="shared" si="1"/>
        <v>88.461538461538453</v>
      </c>
      <c r="I59" s="73">
        <f>IF(H59="","",IF($I$8="A",(RANK(H59,H$11:H$333,1)+COUNTIF(H$11:H59,H59)-1),(RANK(H59,H$11:H$333)+COUNTIF(H$11:H59,H59)-1)))</f>
        <v>40</v>
      </c>
      <c r="J59" s="40"/>
      <c r="K59" s="35">
        <f t="shared" si="10"/>
        <v>49</v>
      </c>
      <c r="L59" t="str">
        <f t="shared" si="2"/>
        <v>Slough</v>
      </c>
      <c r="M59" s="109">
        <f t="shared" si="3"/>
        <v>83.333333333333343</v>
      </c>
      <c r="N59" s="104">
        <f t="shared" si="31"/>
        <v>83.333333333333343</v>
      </c>
      <c r="O59" s="89" t="str">
        <f t="shared" si="32"/>
        <v/>
      </c>
      <c r="P59" s="89" t="str">
        <f t="shared" si="33"/>
        <v/>
      </c>
      <c r="Q59" s="89" t="str">
        <f t="shared" si="34"/>
        <v/>
      </c>
      <c r="R59" s="85">
        <f t="shared" si="35"/>
        <v>83.333333333333343</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f>IF(I$8="A",(RANK(AG59,AG$11:AG$333,1)+COUNTIF(AG$11:AG59,AG59)-1),(RANK(AG59,AG$11:AG$333)+COUNTIF(AG$11:AG59,AG59)-1))</f>
        <v>48</v>
      </c>
      <c r="AF59" t="str">
        <f>VLOOKUP(Profile!$J$5,Families!$C:$R,2,FALSE)</f>
        <v>Cheshire West &amp; Chester</v>
      </c>
      <c r="AG59" s="15">
        <f t="shared" si="15"/>
        <v>100</v>
      </c>
      <c r="AH59" s="46">
        <f t="shared" si="40"/>
        <v>48</v>
      </c>
      <c r="AI59" s="5" t="str">
        <f>IF(L59="","",VLOOKUP($L59,classifications!$C:$J,8,FALSE))</f>
        <v>Unitary</v>
      </c>
      <c r="AJ59" s="42">
        <f t="shared" si="41"/>
        <v>83.333333333333343</v>
      </c>
      <c r="AK59" s="39">
        <f>IF(AJ59="","",IF(I$8="A",(RANK(AJ59,AJ$11:AJ$333,1)+COUNTIF(AJ$11:AJ59,AJ59)-1),(RANK(AJ59,AJ$11:AJ$333)+COUNTIF(AJ$11:AJ59,AJ59)-1)))</f>
        <v>49</v>
      </c>
      <c r="AL59" s="3">
        <f t="shared" si="16"/>
        <v>49</v>
      </c>
      <c r="AM59" t="str">
        <f t="shared" si="6"/>
        <v>Slough</v>
      </c>
      <c r="AN59">
        <f t="shared" si="7"/>
        <v>83.333333333333343</v>
      </c>
      <c r="AP59" s="5" t="str">
        <f>IF(L59="","",VLOOKUP($L59,classifications!$C:$E,3,FALSE))</f>
        <v>South East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88.461538461538453</v>
      </c>
    </row>
    <row r="60" spans="1:50">
      <c r="A60" s="55" t="str">
        <f>$D$1&amp;50</f>
        <v>UA50</v>
      </c>
      <c r="B60" s="56">
        <f>IF(ISERROR(VLOOKUP(A60,classifications!A:C,3,FALSE)),0,VLOOKUP(A60,classifications!A:C,3,FALSE))</f>
        <v>0</v>
      </c>
      <c r="C60" t="s">
        <v>32</v>
      </c>
      <c r="D60" t="str">
        <f>VLOOKUP($C60,classifications!$C:$J,4,FALSE)</f>
        <v>SD</v>
      </c>
      <c r="E60">
        <f>VLOOKUP(C60,classifications!C:K,9,FALSE)</f>
        <v>0</v>
      </c>
      <c r="F60">
        <f t="shared" si="0"/>
        <v>100</v>
      </c>
      <c r="G60" s="15"/>
      <c r="H60" s="41" t="str">
        <f t="shared" si="1"/>
        <v/>
      </c>
      <c r="I60" s="73" t="str">
        <f>IF(H60="","",IF($I$8="A",(RANK(H60,H$11:H$333,1)+COUNTIF(H$11:H60,H60)-1),(RANK(H60,H$11:H$333)+COUNTIF(H$11:H60,H60)-1)))</f>
        <v/>
      </c>
      <c r="J60" s="40"/>
      <c r="K60" s="35">
        <f t="shared" si="10"/>
        <v>50</v>
      </c>
      <c r="L60" t="str">
        <f t="shared" si="2"/>
        <v>Southampton</v>
      </c>
      <c r="M60" s="109">
        <f t="shared" si="3"/>
        <v>83.333333333333343</v>
      </c>
      <c r="N60" s="104">
        <f t="shared" si="31"/>
        <v>83.333333333333343</v>
      </c>
      <c r="O60" s="89" t="str">
        <f t="shared" si="32"/>
        <v/>
      </c>
      <c r="P60" s="89" t="str">
        <f t="shared" si="33"/>
        <v/>
      </c>
      <c r="Q60" s="89" t="str">
        <f t="shared" si="34"/>
        <v/>
      </c>
      <c r="R60" s="85">
        <f t="shared" si="35"/>
        <v>83.333333333333343</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f>IF(I$8="A",(RANK(AG60,AG$11:AG$333,1)+COUNTIF(AG$11:AG60,AG60)-1),(RANK(AG60,AG$11:AG$333)+COUNTIF(AG$11:AG60,AG60)-1))</f>
        <v>49</v>
      </c>
      <c r="AF60" t="str">
        <f>VLOOKUP(Profile!$J$5,Families!$C:$R,2,FALSE)</f>
        <v>Cheshire West &amp; Chester</v>
      </c>
      <c r="AG60" s="15">
        <f t="shared" si="15"/>
        <v>100</v>
      </c>
      <c r="AH60" s="46">
        <f t="shared" si="40"/>
        <v>49</v>
      </c>
      <c r="AI60" s="5" t="str">
        <f>IF(L60="","",VLOOKUP($L60,classifications!$C:$J,8,FALSE))</f>
        <v>Unitary</v>
      </c>
      <c r="AJ60" s="42">
        <f t="shared" si="41"/>
        <v>83.333333333333343</v>
      </c>
      <c r="AK60" s="39">
        <f>IF(AJ60="","",IF(I$8="A",(RANK(AJ60,AJ$11:AJ$333,1)+COUNTIF(AJ$11:AJ60,AJ60)-1),(RANK(AJ60,AJ$11:AJ$333)+COUNTIF(AJ$11:AJ60,AJ60)-1)))</f>
        <v>50</v>
      </c>
      <c r="AL60" s="3">
        <f t="shared" si="16"/>
        <v>50</v>
      </c>
      <c r="AM60" t="str">
        <f t="shared" si="6"/>
        <v>Southampton</v>
      </c>
      <c r="AN60">
        <f t="shared" si="7"/>
        <v>83.333333333333343</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100</v>
      </c>
    </row>
    <row r="61" spans="1:50">
      <c r="A61" s="55" t="str">
        <f>$D$1&amp;51</f>
        <v>UA51</v>
      </c>
      <c r="B61" s="56">
        <f>IF(ISERROR(VLOOKUP(A61,classifications!A:C,3,FALSE)),0,VLOOKUP(A61,classifications!A:C,3,FALSE))</f>
        <v>0</v>
      </c>
      <c r="C61" t="s">
        <v>33</v>
      </c>
      <c r="D61" t="str">
        <f>VLOOKUP($C61,classifications!$C:$J,4,FALSE)</f>
        <v>SD</v>
      </c>
      <c r="E61">
        <f>VLOOKUP(C61,classifications!C:K,9,FALSE)</f>
        <v>0</v>
      </c>
      <c r="F61">
        <f t="shared" si="0"/>
        <v>88.888888888888886</v>
      </c>
      <c r="G61" s="15"/>
      <c r="H61" s="41" t="str">
        <f t="shared" si="1"/>
        <v/>
      </c>
      <c r="I61" s="73" t="str">
        <f>IF(H61="","",IF($I$8="A",(RANK(H61,H$11:H$333,1)+COUNTIF(H$11:H61,H61)-1),(RANK(H61,H$11:H$333)+COUNTIF(H$11:H61,H61)-1)))</f>
        <v/>
      </c>
      <c r="J61" s="40"/>
      <c r="K61" s="35">
        <f t="shared" si="10"/>
        <v>51</v>
      </c>
      <c r="L61" t="str">
        <f t="shared" si="2"/>
        <v>West Northamptonshire</v>
      </c>
      <c r="M61" s="109">
        <f t="shared" si="3"/>
        <v>83.333333333333343</v>
      </c>
      <c r="N61" s="104">
        <f t="shared" si="31"/>
        <v>83.333333333333343</v>
      </c>
      <c r="O61" s="89" t="str">
        <f t="shared" si="32"/>
        <v/>
      </c>
      <c r="P61" s="89" t="str">
        <f t="shared" si="33"/>
        <v/>
      </c>
      <c r="Q61" s="89" t="str">
        <f t="shared" si="34"/>
        <v/>
      </c>
      <c r="R61" s="85">
        <f t="shared" si="35"/>
        <v>83.333333333333343</v>
      </c>
      <c r="S61" s="41" t="str">
        <f t="shared" si="36"/>
        <v/>
      </c>
      <c r="T61" s="166" t="str">
        <f>IF(L61="","",VLOOKUP(L61,classifications!C:K,9,FALSE))</f>
        <v>Sparse</v>
      </c>
      <c r="U61" s="167">
        <f t="shared" si="37"/>
        <v>83.333333333333343</v>
      </c>
      <c r="V61" s="173">
        <f>IF(U61="","",IF($I$8="A",(RANK(U61,U$11:U$333)+COUNTIF(U$11:U61,U61)-1),(RANK(U61,U$11:U$333,1)+COUNTIF(U$11:U61,U61)-1)))</f>
        <v>4</v>
      </c>
      <c r="W61" s="174"/>
      <c r="X61" s="5" t="str">
        <f>IF(L61="","",VLOOKUP($L61,classifications!$C:$J,6,FALSE))</f>
        <v>Urban with Significant Rural</v>
      </c>
      <c r="Y61">
        <f t="shared" si="38"/>
        <v>83.333333333333343</v>
      </c>
      <c r="Z61" s="39">
        <f>IF(Y61="","",IF(I$8="A",(RANK(Y61,Y$11:Y$333,1)+COUNTIF(Y$11:Y61,Y61)-1),(RANK(Y61,Y$11:Y$333)+COUNTIF(Y$11:Y61,Y61)-1)))</f>
        <v>18</v>
      </c>
      <c r="AA61" s="177" t="str">
        <f>IF(L61="","",VLOOKUP($L61,classifications!C:I,7,FALSE))</f>
        <v>Urban with Significant Rural</v>
      </c>
      <c r="AB61" s="173">
        <f t="shared" si="39"/>
        <v>83.333333333333343</v>
      </c>
      <c r="AC61" s="173">
        <f>IF(AB61="","",IF($I$8="A",(RANK(AB61,AB$11:AB$333)+COUNTIF(AB$11:AB61,AB61)-1),(RANK(AB61,AB$11:AB$333,1)+COUNTIF(AB$11:AB61,AB61)-1)))</f>
        <v>4</v>
      </c>
      <c r="AD61" s="173"/>
      <c r="AE61" s="45">
        <f>IF(I$8="A",(RANK(AG61,AG$11:AG$333,1)+COUNTIF(AG$11:AG61,AG61)-1),(RANK(AG61,AG$11:AG$333)+COUNTIF(AG$11:AG61,AG61)-1))</f>
        <v>50</v>
      </c>
      <c r="AF61" t="str">
        <f>VLOOKUP(Profile!$J$5,Families!$C:$R,2,FALSE)</f>
        <v>Cheshire West &amp; Chester</v>
      </c>
      <c r="AG61" s="15">
        <f t="shared" si="15"/>
        <v>100</v>
      </c>
      <c r="AH61" s="46">
        <f t="shared" si="40"/>
        <v>50</v>
      </c>
      <c r="AI61" s="5" t="str">
        <f>IF(L61="","",VLOOKUP($L61,classifications!$C:$J,8,FALSE))</f>
        <v>Unitary</v>
      </c>
      <c r="AJ61" s="42">
        <f t="shared" si="41"/>
        <v>83.333333333333343</v>
      </c>
      <c r="AK61" s="39">
        <f>IF(AJ61="","",IF(I$8="A",(RANK(AJ61,AJ$11:AJ$333,1)+COUNTIF(AJ$11:AJ61,AJ61)-1),(RANK(AJ61,AJ$11:AJ$333)+COUNTIF(AJ$11:AJ61,AJ61)-1)))</f>
        <v>51</v>
      </c>
      <c r="AL61" s="3">
        <f t="shared" si="16"/>
        <v>51</v>
      </c>
      <c r="AM61" t="str">
        <f t="shared" si="6"/>
        <v>West Northamptonshire</v>
      </c>
      <c r="AN61">
        <f t="shared" si="7"/>
        <v>83.333333333333343</v>
      </c>
      <c r="AP61" s="5" t="str">
        <f>IF(L61="","",VLOOKUP($L61,classifications!$C:$E,3,FALSE))</f>
        <v>East Midlands</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88.888888888888886</v>
      </c>
    </row>
    <row r="62" spans="1:50">
      <c r="A62" s="55" t="str">
        <f>$D$1&amp;52</f>
        <v>UA52</v>
      </c>
      <c r="B62" s="56">
        <f>IF(ISERROR(VLOOKUP(A62,classifications!A:C,3,FALSE)),0,VLOOKUP(A62,classifications!A:C,3,FALSE))</f>
        <v>0</v>
      </c>
      <c r="C62" t="s">
        <v>34</v>
      </c>
      <c r="D62" t="str">
        <f>VLOOKUP($C62,classifications!$C:$J,4,FALSE)</f>
        <v>SD</v>
      </c>
      <c r="E62">
        <f>VLOOKUP(C62,classifications!C:K,9,FALSE)</f>
        <v>0</v>
      </c>
      <c r="F62">
        <f t="shared" si="0"/>
        <v>75</v>
      </c>
      <c r="G62" s="15"/>
      <c r="H62" s="41" t="str">
        <f t="shared" si="1"/>
        <v/>
      </c>
      <c r="I62" s="73" t="str">
        <f>IF(H62="","",IF($I$8="A",(RANK(H62,H$11:H$333,1)+COUNTIF(H$11:H62,H62)-1),(RANK(H62,H$11:H$333)+COUNTIF(H$11:H62,H62)-1)))</f>
        <v/>
      </c>
      <c r="J62" s="40"/>
      <c r="K62" s="35">
        <f t="shared" si="10"/>
        <v>52</v>
      </c>
      <c r="L62" t="str">
        <f t="shared" si="2"/>
        <v>Bournemouth, Christchurch &amp; Poole</v>
      </c>
      <c r="M62" s="109">
        <f t="shared" si="3"/>
        <v>80</v>
      </c>
      <c r="N62" s="104">
        <f t="shared" si="31"/>
        <v>80</v>
      </c>
      <c r="O62" s="89" t="str">
        <f t="shared" si="32"/>
        <v/>
      </c>
      <c r="P62" s="89" t="str">
        <f t="shared" si="33"/>
        <v/>
      </c>
      <c r="Q62" s="89" t="str">
        <f t="shared" si="34"/>
        <v/>
      </c>
      <c r="R62" s="85">
        <f t="shared" si="35"/>
        <v>80</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f>IF(I$8="A",(RANK(AG62,AG$11:AG$333,1)+COUNTIF(AG$11:AG62,AG62)-1),(RANK(AG62,AG$11:AG$333)+COUNTIF(AG$11:AG62,AG62)-1))</f>
        <v>51</v>
      </c>
      <c r="AF62" t="str">
        <f>VLOOKUP(Profile!$J$5,Families!$C:$R,2,FALSE)</f>
        <v>Cheshire West &amp; Chester</v>
      </c>
      <c r="AG62" s="15">
        <f t="shared" si="15"/>
        <v>100</v>
      </c>
      <c r="AH62" s="46">
        <f t="shared" si="40"/>
        <v>51</v>
      </c>
      <c r="AI62" s="5" t="str">
        <f>IF(L62="","",VLOOKUP($L62,classifications!$C:$J,8,FALSE))</f>
        <v>Unitary</v>
      </c>
      <c r="AJ62" s="42">
        <f t="shared" si="41"/>
        <v>80</v>
      </c>
      <c r="AK62" s="39">
        <f>IF(AJ62="","",IF(I$8="A",(RANK(AJ62,AJ$11:AJ$333,1)+COUNTIF(AJ$11:AJ62,AJ62)-1),(RANK(AJ62,AJ$11:AJ$333)+COUNTIF(AJ$11:AJ62,AJ62)-1)))</f>
        <v>52</v>
      </c>
      <c r="AL62" s="3">
        <f t="shared" si="16"/>
        <v>52</v>
      </c>
      <c r="AM62" t="str">
        <f t="shared" si="6"/>
        <v>Bournemouth, Christchurch &amp; Poole</v>
      </c>
      <c r="AN62">
        <f t="shared" si="7"/>
        <v>80</v>
      </c>
      <c r="AP62" s="5" t="str">
        <f>IF(L62="","",VLOOKUP($L62,classifications!$C:$E,3,FALSE))</f>
        <v>South West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75</v>
      </c>
    </row>
    <row r="63" spans="1:50">
      <c r="A63" s="55" t="str">
        <f>$D$1&amp;53</f>
        <v>UA53</v>
      </c>
      <c r="B63" s="56">
        <f>IF(ISERROR(VLOOKUP(A63,classifications!A:C,3,FALSE)),0,VLOOKUP(A63,classifications!A:C,3,FALSE))</f>
        <v>0</v>
      </c>
      <c r="C63" t="s">
        <v>35</v>
      </c>
      <c r="D63" t="str">
        <f>VLOOKUP($C63,classifications!$C:$J,4,FALSE)</f>
        <v>SD</v>
      </c>
      <c r="E63">
        <f>VLOOKUP(C63,classifications!C:K,9,FALSE)</f>
        <v>0</v>
      </c>
      <c r="F63">
        <f t="shared" si="0"/>
        <v>92.857142857142861</v>
      </c>
      <c r="G63" s="15"/>
      <c r="H63" s="41" t="str">
        <f t="shared" si="1"/>
        <v/>
      </c>
      <c r="I63" s="73" t="str">
        <f>IF(H63="","",IF($I$8="A",(RANK(H63,H$11:H$333,1)+COUNTIF(H$11:H63,H63)-1),(RANK(H63,H$11:H$333)+COUNTIF(H$11:H63,H63)-1)))</f>
        <v/>
      </c>
      <c r="J63" s="40"/>
      <c r="K63" s="35">
        <f t="shared" si="10"/>
        <v>53</v>
      </c>
      <c r="L63" t="str">
        <f t="shared" si="2"/>
        <v>Darlington</v>
      </c>
      <c r="M63" s="109">
        <f t="shared" si="3"/>
        <v>80</v>
      </c>
      <c r="N63" s="104">
        <f t="shared" si="31"/>
        <v>80</v>
      </c>
      <c r="O63" s="89" t="str">
        <f t="shared" si="32"/>
        <v/>
      </c>
      <c r="P63" s="89" t="str">
        <f t="shared" si="33"/>
        <v/>
      </c>
      <c r="Q63" s="89" t="str">
        <f t="shared" si="34"/>
        <v/>
      </c>
      <c r="R63" s="85">
        <f t="shared" si="35"/>
        <v>80</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f>IF(I$8="A",(RANK(AG63,AG$11:AG$333,1)+COUNTIF(AG$11:AG63,AG63)-1),(RANK(AG63,AG$11:AG$333)+COUNTIF(AG$11:AG63,AG63)-1))</f>
        <v>52</v>
      </c>
      <c r="AF63" t="str">
        <f>VLOOKUP(Profile!$J$5,Families!$C:$R,2,FALSE)</f>
        <v>Cheshire West &amp; Chester</v>
      </c>
      <c r="AG63" s="15">
        <f t="shared" si="15"/>
        <v>100</v>
      </c>
      <c r="AH63" s="46">
        <f t="shared" si="40"/>
        <v>52</v>
      </c>
      <c r="AI63" s="5" t="str">
        <f>IF(L63="","",VLOOKUP($L63,classifications!$C:$J,8,FALSE))</f>
        <v>Unitary</v>
      </c>
      <c r="AJ63" s="42">
        <f t="shared" si="41"/>
        <v>80</v>
      </c>
      <c r="AK63" s="39">
        <f>IF(AJ63="","",IF(I$8="A",(RANK(AJ63,AJ$11:AJ$333,1)+COUNTIF(AJ$11:AJ63,AJ63)-1),(RANK(AJ63,AJ$11:AJ$333)+COUNTIF(AJ$11:AJ63,AJ63)-1)))</f>
        <v>53</v>
      </c>
      <c r="AL63" s="3">
        <f t="shared" si="16"/>
        <v>53</v>
      </c>
      <c r="AM63" t="str">
        <f t="shared" si="6"/>
        <v>Darlington</v>
      </c>
      <c r="AN63">
        <f t="shared" si="7"/>
        <v>80</v>
      </c>
      <c r="AP63" s="5" t="str">
        <f>IF(L63="","",VLOOKUP($L63,classifications!$C:$E,3,FALSE))</f>
        <v>NE</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92.857142857142861</v>
      </c>
    </row>
    <row r="64" spans="1:50">
      <c r="A64" s="55" t="str">
        <f>$D$1&amp;54</f>
        <v>UA54</v>
      </c>
      <c r="B64" s="56">
        <f>IF(ISERROR(VLOOKUP(A64,classifications!A:C,3,FALSE)),0,VLOOKUP(A64,classifications!A:C,3,FALSE))</f>
        <v>0</v>
      </c>
      <c r="C64" t="s">
        <v>304</v>
      </c>
      <c r="D64" t="str">
        <f>VLOOKUP($C64,classifications!$C:$J,4,FALSE)</f>
        <v>UA</v>
      </c>
      <c r="E64" t="str">
        <f>VLOOKUP(C64,classifications!C:K,9,FALSE)</f>
        <v>Sparse</v>
      </c>
      <c r="F64">
        <f t="shared" si="0"/>
        <v>90.909090909090907</v>
      </c>
      <c r="G64" s="15"/>
      <c r="H64" s="41">
        <f t="shared" si="1"/>
        <v>90.909090909090907</v>
      </c>
      <c r="I64" s="73">
        <f>IF(H64="","",IF($I$8="A",(RANK(H64,H$11:H$333,1)+COUNTIF(H$11:H64,H64)-1),(RANK(H64,H$11:H$333)+COUNTIF(H$11:H64,H64)-1)))</f>
        <v>33</v>
      </c>
      <c r="J64" s="40"/>
      <c r="K64" s="35">
        <f t="shared" si="10"/>
        <v>54</v>
      </c>
      <c r="L64" t="str">
        <f t="shared" si="2"/>
        <v>North Somerset</v>
      </c>
      <c r="M64" s="109">
        <f t="shared" si="3"/>
        <v>80</v>
      </c>
      <c r="N64" s="104">
        <f t="shared" si="31"/>
        <v>80</v>
      </c>
      <c r="O64" s="89" t="str">
        <f t="shared" si="32"/>
        <v/>
      </c>
      <c r="P64" s="89" t="str">
        <f t="shared" si="33"/>
        <v/>
      </c>
      <c r="Q64" s="89" t="str">
        <f t="shared" si="34"/>
        <v/>
      </c>
      <c r="R64" s="85">
        <f t="shared" si="35"/>
        <v>80</v>
      </c>
      <c r="S64" s="41" t="str">
        <f t="shared" si="36"/>
        <v/>
      </c>
      <c r="T64" s="166" t="str">
        <f>IF(L64="","",VLOOKUP(L64,classifications!C:K,9,FALSE))</f>
        <v>Sparse</v>
      </c>
      <c r="U64" s="167">
        <f t="shared" si="37"/>
        <v>80</v>
      </c>
      <c r="V64" s="173">
        <f>IF(U64="","",IF($I$8="A",(RANK(U64,U$11:U$333)+COUNTIF(U$11:U64,U64)-1),(RANK(U64,U$11:U$333,1)+COUNTIF(U$11:U64,U64)-1)))</f>
        <v>3</v>
      </c>
      <c r="W64" s="174"/>
      <c r="X64" s="5" t="str">
        <f>IF(L64="","",VLOOKUP($L64,classifications!$C:$J,6,FALSE))</f>
        <v>Urban with Significant Rural</v>
      </c>
      <c r="Y64">
        <f t="shared" si="38"/>
        <v>80</v>
      </c>
      <c r="Z64" s="39">
        <f>IF(Y64="","",IF(I$8="A",(RANK(Y64,Y$11:Y$333,1)+COUNTIF(Y$11:Y64,Y64)-1),(RANK(Y64,Y$11:Y$333)+COUNTIF(Y$11:Y64,Y64)-1)))</f>
        <v>19</v>
      </c>
      <c r="AA64" s="177" t="str">
        <f>IF(L64="","",VLOOKUP($L64,classifications!C:I,7,FALSE))</f>
        <v>Urban with Significant Rural</v>
      </c>
      <c r="AB64" s="173">
        <f t="shared" si="39"/>
        <v>80</v>
      </c>
      <c r="AC64" s="173">
        <f>IF(AB64="","",IF($I$8="A",(RANK(AB64,AB$11:AB$333)+COUNTIF(AB$11:AB64,AB64)-1),(RANK(AB64,AB$11:AB$333,1)+COUNTIF(AB$11:AB64,AB64)-1)))</f>
        <v>3</v>
      </c>
      <c r="AD64" s="173"/>
      <c r="AE64" s="45">
        <f>IF(I$8="A",(RANK(AG64,AG$11:AG$333,1)+COUNTIF(AG$11:AG64,AG64)-1),(RANK(AG64,AG$11:AG$333)+COUNTIF(AG$11:AG64,AG64)-1))</f>
        <v>53</v>
      </c>
      <c r="AF64" t="str">
        <f>VLOOKUP(Profile!$J$5,Families!$C:$R,2,FALSE)</f>
        <v>Cheshire West &amp; Chester</v>
      </c>
      <c r="AG64" s="15">
        <f t="shared" si="15"/>
        <v>100</v>
      </c>
      <c r="AH64" s="46">
        <f t="shared" si="40"/>
        <v>53</v>
      </c>
      <c r="AI64" s="5" t="str">
        <f>IF(L64="","",VLOOKUP($L64,classifications!$C:$J,8,FALSE))</f>
        <v>Unitary</v>
      </c>
      <c r="AJ64" s="42">
        <f t="shared" si="41"/>
        <v>80</v>
      </c>
      <c r="AK64" s="39">
        <f>IF(AJ64="","",IF(I$8="A",(RANK(AJ64,AJ$11:AJ$333,1)+COUNTIF(AJ$11:AJ64,AJ64)-1),(RANK(AJ64,AJ$11:AJ$333)+COUNTIF(AJ$11:AJ64,AJ64)-1)))</f>
        <v>54</v>
      </c>
      <c r="AL64" s="3">
        <f t="shared" si="16"/>
        <v>54</v>
      </c>
      <c r="AM64" t="str">
        <f t="shared" si="6"/>
        <v>North Somerset</v>
      </c>
      <c r="AN64">
        <f t="shared" si="7"/>
        <v>80</v>
      </c>
      <c r="AP64" s="5" t="str">
        <f>IF(L64="","",VLOOKUP($L64,classifications!$C:$E,3,FALSE))</f>
        <v>South West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90.909090909090907</v>
      </c>
    </row>
    <row r="65" spans="1:50">
      <c r="A65" s="55" t="str">
        <f>$D$1&amp;55</f>
        <v>UA55</v>
      </c>
      <c r="B65" s="56">
        <f>IF(ISERROR(VLOOKUP(A65,classifications!A:C,3,FALSE)),0,VLOOKUP(A65,classifications!A:C,3,FALSE))</f>
        <v>0</v>
      </c>
      <c r="C65" t="s">
        <v>813</v>
      </c>
      <c r="D65" t="str">
        <f>VLOOKUP($C65,classifications!$C:$J,4,FALSE)</f>
        <v>UA</v>
      </c>
      <c r="E65">
        <f>VLOOKUP(C65,classifications!C:K,9,FALSE)</f>
        <v>0</v>
      </c>
      <c r="F65">
        <f t="shared" si="0"/>
        <v>100</v>
      </c>
      <c r="G65" s="15"/>
      <c r="H65" s="41">
        <f t="shared" si="1"/>
        <v>100</v>
      </c>
      <c r="I65" s="73">
        <f>IF(H65="","",IF($I$8="A",(RANK(H65,H$11:H$333,1)+COUNTIF(H$11:H65,H65)-1),(RANK(H65,H$11:H$333)+COUNTIF(H$11:H65,H65)-1)))</f>
        <v>5</v>
      </c>
      <c r="J65" s="40"/>
      <c r="K65" s="35">
        <f t="shared" si="10"/>
        <v>55</v>
      </c>
      <c r="L65" t="str">
        <f t="shared" si="2"/>
        <v>Nottingham</v>
      </c>
      <c r="M65" s="109">
        <f t="shared" si="3"/>
        <v>75</v>
      </c>
      <c r="N65" s="104">
        <f t="shared" si="31"/>
        <v>75</v>
      </c>
      <c r="O65" s="89" t="str">
        <f t="shared" si="32"/>
        <v/>
      </c>
      <c r="P65" s="89" t="str">
        <f t="shared" si="33"/>
        <v/>
      </c>
      <c r="Q65" s="89" t="str">
        <f t="shared" si="34"/>
        <v/>
      </c>
      <c r="R65" s="85">
        <f t="shared" si="35"/>
        <v>75</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f>IF(I$8="A",(RANK(AG65,AG$11:AG$333,1)+COUNTIF(AG$11:AG65,AG65)-1),(RANK(AG65,AG$11:AG$333)+COUNTIF(AG$11:AG65,AG65)-1))</f>
        <v>54</v>
      </c>
      <c r="AF65" t="str">
        <f>VLOOKUP(Profile!$J$5,Families!$C:$R,2,FALSE)</f>
        <v>Cheshire West &amp; Chester</v>
      </c>
      <c r="AG65" s="15">
        <f t="shared" si="15"/>
        <v>100</v>
      </c>
      <c r="AH65" s="46">
        <f t="shared" si="40"/>
        <v>54</v>
      </c>
      <c r="AI65" s="5" t="str">
        <f>IF(L65="","",VLOOKUP($L65,classifications!$C:$J,8,FALSE))</f>
        <v>Unitary</v>
      </c>
      <c r="AJ65" s="42">
        <f t="shared" si="41"/>
        <v>75</v>
      </c>
      <c r="AK65" s="39">
        <f>IF(AJ65="","",IF(I$8="A",(RANK(AJ65,AJ$11:AJ$333,1)+COUNTIF(AJ$11:AJ65,AJ65)-1),(RANK(AJ65,AJ$11:AJ$333)+COUNTIF(AJ$11:AJ65,AJ65)-1)))</f>
        <v>55</v>
      </c>
      <c r="AL65" s="3">
        <f t="shared" si="16"/>
        <v>55</v>
      </c>
      <c r="AM65" t="str">
        <f t="shared" si="6"/>
        <v>Nottingham</v>
      </c>
      <c r="AN65">
        <f t="shared" si="7"/>
        <v>75</v>
      </c>
      <c r="AP65" s="5" t="str">
        <f>IF(L65="","",VLOOKUP($L65,classifications!$C:$E,3,FALSE))</f>
        <v>East Midlands</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100</v>
      </c>
    </row>
    <row r="66" spans="1:50">
      <c r="A66" s="55" t="str">
        <f>$D$1&amp;56</f>
        <v>UA56</v>
      </c>
      <c r="B66" s="56">
        <f>IF(ISERROR(VLOOKUP(A66,classifications!A:C,3,FALSE)),0,VLOOKUP(A66,classifications!A:C,3,FALSE))</f>
        <v>0</v>
      </c>
      <c r="C66" t="s">
        <v>36</v>
      </c>
      <c r="D66" t="str">
        <f>VLOOKUP($C66,classifications!$C:$J,4,FALSE)</f>
        <v>SD</v>
      </c>
      <c r="E66">
        <f>VLOOKUP(C66,classifications!C:K,9,FALSE)</f>
        <v>0</v>
      </c>
      <c r="F66">
        <f t="shared" si="0"/>
        <v>60</v>
      </c>
      <c r="G66" s="15"/>
      <c r="H66" s="41" t="str">
        <f t="shared" si="1"/>
        <v/>
      </c>
      <c r="I66" s="73" t="str">
        <f>IF(H66="","",IF($I$8="A",(RANK(H66,H$11:H$333,1)+COUNTIF(H$11:H66,H66)-1),(RANK(H66,H$11:H$333)+COUNTIF(H$11:H66,H66)-1)))</f>
        <v/>
      </c>
      <c r="J66" s="40"/>
      <c r="K66" s="35">
        <f t="shared" si="10"/>
        <v>56</v>
      </c>
      <c r="L66" t="str">
        <f t="shared" si="2"/>
        <v>West Berkshire</v>
      </c>
      <c r="M66" s="109">
        <f t="shared" si="3"/>
        <v>75</v>
      </c>
      <c r="N66" s="104">
        <f t="shared" si="31"/>
        <v>75</v>
      </c>
      <c r="O66" s="89" t="str">
        <f t="shared" si="32"/>
        <v/>
      </c>
      <c r="P66" s="89" t="str">
        <f t="shared" si="33"/>
        <v/>
      </c>
      <c r="Q66" s="89" t="str">
        <f t="shared" si="34"/>
        <v/>
      </c>
      <c r="R66" s="85">
        <f t="shared" si="35"/>
        <v>75</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Urban with Significant Rural</v>
      </c>
      <c r="Y66">
        <f t="shared" si="38"/>
        <v>75</v>
      </c>
      <c r="Z66" s="39">
        <f>IF(Y66="","",IF(I$8="A",(RANK(Y66,Y$11:Y$333,1)+COUNTIF(Y$11:Y66,Y66)-1),(RANK(Y66,Y$11:Y$333)+COUNTIF(Y$11:Y66,Y66)-1)))</f>
        <v>20</v>
      </c>
      <c r="AA66" s="177" t="str">
        <f>IF(L66="","",VLOOKUP($L66,classifications!C:I,7,FALSE))</f>
        <v>Urban with Significant Rural</v>
      </c>
      <c r="AB66" s="173">
        <f t="shared" si="39"/>
        <v>75</v>
      </c>
      <c r="AC66" s="173">
        <f>IF(AB66="","",IF($I$8="A",(RANK(AB66,AB$11:AB$333)+COUNTIF(AB$11:AB66,AB66)-1),(RANK(AB66,AB$11:AB$333,1)+COUNTIF(AB$11:AB66,AB66)-1)))</f>
        <v>2</v>
      </c>
      <c r="AD66" s="173"/>
      <c r="AE66" s="45">
        <f>IF(I$8="A",(RANK(AG66,AG$11:AG$333,1)+COUNTIF(AG$11:AG66,AG66)-1),(RANK(AG66,AG$11:AG$333)+COUNTIF(AG$11:AG66,AG66)-1))</f>
        <v>55</v>
      </c>
      <c r="AF66" t="str">
        <f>VLOOKUP(Profile!$J$5,Families!$C:$R,2,FALSE)</f>
        <v>Cheshire West &amp; Chester</v>
      </c>
      <c r="AG66" s="15">
        <f t="shared" si="15"/>
        <v>100</v>
      </c>
      <c r="AH66" s="46">
        <f t="shared" si="40"/>
        <v>55</v>
      </c>
      <c r="AI66" s="5" t="str">
        <f>IF(L66="","",VLOOKUP($L66,classifications!$C:$J,8,FALSE))</f>
        <v>Unitary</v>
      </c>
      <c r="AJ66" s="42">
        <f t="shared" si="41"/>
        <v>75</v>
      </c>
      <c r="AK66" s="39">
        <f>IF(AJ66="","",IF(I$8="A",(RANK(AJ66,AJ$11:AJ$333,1)+COUNTIF(AJ$11:AJ66,AJ66)-1),(RANK(AJ66,AJ$11:AJ$333)+COUNTIF(AJ$11:AJ66,AJ66)-1)))</f>
        <v>56</v>
      </c>
      <c r="AL66" s="3">
        <f t="shared" si="16"/>
        <v>56</v>
      </c>
      <c r="AM66" t="str">
        <f t="shared" si="6"/>
        <v>West Berkshire</v>
      </c>
      <c r="AN66">
        <f t="shared" si="7"/>
        <v>75</v>
      </c>
      <c r="AP66" s="5" t="str">
        <f>IF(L66="","",VLOOKUP($L66,classifications!$C:$E,3,FALSE))</f>
        <v>South East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60</v>
      </c>
    </row>
    <row r="67" spans="1:50">
      <c r="A67" s="55" t="str">
        <f>$D$1&amp;57</f>
        <v>UA57</v>
      </c>
      <c r="B67" s="56">
        <f>IF(ISERROR(VLOOKUP(A67,classifications!A:C,3,FALSE)),0,VLOOKUP(A67,classifications!A:C,3,FALSE))</f>
        <v>0</v>
      </c>
      <c r="C67" t="s">
        <v>37</v>
      </c>
      <c r="D67" t="str">
        <f>VLOOKUP($C67,classifications!$C:$J,4,FALSE)</f>
        <v>SD</v>
      </c>
      <c r="E67" t="str">
        <f>VLOOKUP(C67,classifications!C:K,9,FALSE)</f>
        <v>Sparse</v>
      </c>
      <c r="F67">
        <f t="shared" si="0"/>
        <v>100</v>
      </c>
      <c r="G67" s="15"/>
      <c r="H67" s="41" t="str">
        <f t="shared" si="1"/>
        <v/>
      </c>
      <c r="I67" s="73" t="str">
        <f>IF(H67="","",IF($I$8="A",(RANK(H67,H$11:H$333,1)+COUNTIF(H$11:H67,H67)-1),(RANK(H67,H$11:H$333)+COUNTIF(H$11:H67,H67)-1)))</f>
        <v/>
      </c>
      <c r="J67" s="40"/>
      <c r="K67" s="35">
        <f t="shared" si="10"/>
        <v>57</v>
      </c>
      <c r="L67" t="str">
        <f t="shared" si="2"/>
        <v>North Northamptonshire</v>
      </c>
      <c r="M67" s="109">
        <f t="shared" si="3"/>
        <v>74.074074074074076</v>
      </c>
      <c r="N67" s="104">
        <f t="shared" si="31"/>
        <v>74.074074074074076</v>
      </c>
      <c r="O67" s="89" t="str">
        <f t="shared" si="32"/>
        <v/>
      </c>
      <c r="P67" s="89" t="str">
        <f t="shared" si="33"/>
        <v/>
      </c>
      <c r="Q67" s="89" t="str">
        <f t="shared" si="34"/>
        <v/>
      </c>
      <c r="R67" s="85">
        <f t="shared" si="35"/>
        <v>74.074074074074076</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Urban with Significant Rural</v>
      </c>
      <c r="Y67">
        <f t="shared" si="38"/>
        <v>74.074074074074076</v>
      </c>
      <c r="Z67" s="39">
        <f>IF(Y67="","",IF(I$8="A",(RANK(Y67,Y$11:Y$333,1)+COUNTIF(Y$11:Y67,Y67)-1),(RANK(Y67,Y$11:Y$333)+COUNTIF(Y$11:Y67,Y67)-1)))</f>
        <v>21</v>
      </c>
      <c r="AA67" s="177" t="str">
        <f>IF(L67="","",VLOOKUP($L67,classifications!C:I,7,FALSE))</f>
        <v>Urban with Significant Rural</v>
      </c>
      <c r="AB67" s="173">
        <f t="shared" si="39"/>
        <v>74.074074074074076</v>
      </c>
      <c r="AC67" s="173">
        <f>IF(AB67="","",IF($I$8="A",(RANK(AB67,AB$11:AB$333)+COUNTIF(AB$11:AB67,AB67)-1),(RANK(AB67,AB$11:AB$333,1)+COUNTIF(AB$11:AB67,AB67)-1)))</f>
        <v>1</v>
      </c>
      <c r="AD67" s="173"/>
      <c r="AE67" s="45">
        <f>IF(I$8="A",(RANK(AG67,AG$11:AG$333,1)+COUNTIF(AG$11:AG67,AG67)-1),(RANK(AG67,AG$11:AG$333)+COUNTIF(AG$11:AG67,AG67)-1))</f>
        <v>56</v>
      </c>
      <c r="AF67" t="str">
        <f>VLOOKUP(Profile!$J$5,Families!$C:$R,2,FALSE)</f>
        <v>Cheshire West &amp; Chester</v>
      </c>
      <c r="AG67" s="15">
        <f t="shared" si="15"/>
        <v>100</v>
      </c>
      <c r="AH67" s="46">
        <f t="shared" si="40"/>
        <v>56</v>
      </c>
      <c r="AI67" s="5" t="str">
        <f>IF(L67="","",VLOOKUP($L67,classifications!$C:$J,8,FALSE))</f>
        <v>Unitary</v>
      </c>
      <c r="AJ67" s="42">
        <f t="shared" si="41"/>
        <v>74.074074074074076</v>
      </c>
      <c r="AK67" s="39">
        <f>IF(AJ67="","",IF(I$8="A",(RANK(AJ67,AJ$11:AJ$333,1)+COUNTIF(AJ$11:AJ67,AJ67)-1),(RANK(AJ67,AJ$11:AJ$333)+COUNTIF(AJ$11:AJ67,AJ67)-1)))</f>
        <v>57</v>
      </c>
      <c r="AL67" s="3">
        <f t="shared" si="16"/>
        <v>57</v>
      </c>
      <c r="AM67" t="str">
        <f t="shared" si="6"/>
        <v>North Northamptonshire</v>
      </c>
      <c r="AN67">
        <f t="shared" si="7"/>
        <v>74.074074074074076</v>
      </c>
      <c r="AP67" s="5" t="str">
        <f>IF(L67="","",VLOOKUP($L67,classifications!$C:$E,3,FALSE))</f>
        <v>East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100</v>
      </c>
    </row>
    <row r="68" spans="1:50">
      <c r="A68" s="55" t="str">
        <f>$D$1&amp;58</f>
        <v>UA58</v>
      </c>
      <c r="B68" s="56">
        <f>IF(ISERROR(VLOOKUP(A68,classifications!A:C,3,FALSE)),0,VLOOKUP(A68,classifications!A:C,3,FALSE))</f>
        <v>0</v>
      </c>
      <c r="C68" t="s">
        <v>39</v>
      </c>
      <c r="D68" t="str">
        <f>VLOOKUP($C68,classifications!$C:$J,4,FALSE)</f>
        <v>SD</v>
      </c>
      <c r="E68">
        <f>VLOOKUP(C68,classifications!C:K,9,FALSE)</f>
        <v>0</v>
      </c>
      <c r="F68">
        <f t="shared" si="0"/>
        <v>100</v>
      </c>
      <c r="G68" s="15"/>
      <c r="H68" s="41" t="str">
        <f t="shared" si="1"/>
        <v/>
      </c>
      <c r="I68" s="73" t="str">
        <f>IF(H68="","",IF($I$8="A",(RANK(H68,H$11:H$333,1)+COUNTIF(H$11:H68,H68)-1),(RANK(H68,H$11:H$333)+COUNTIF(H$11:H68,H68)-1)))</f>
        <v/>
      </c>
      <c r="J68" s="40"/>
      <c r="K68" s="35">
        <f t="shared" si="10"/>
        <v>58</v>
      </c>
      <c r="L68" t="str">
        <f t="shared" si="2"/>
        <v>Shropshire</v>
      </c>
      <c r="M68" s="109">
        <f t="shared" si="3"/>
        <v>68.965517241379317</v>
      </c>
      <c r="N68" s="104">
        <f t="shared" si="31"/>
        <v>68.965517241379317</v>
      </c>
      <c r="O68" s="89" t="str">
        <f t="shared" si="32"/>
        <v/>
      </c>
      <c r="P68" s="89" t="str">
        <f t="shared" si="33"/>
        <v/>
      </c>
      <c r="Q68" s="89" t="str">
        <f t="shared" si="34"/>
        <v/>
      </c>
      <c r="R68" s="85">
        <f t="shared" si="35"/>
        <v>68.965517241379317</v>
      </c>
      <c r="S68" s="41" t="str">
        <f t="shared" si="36"/>
        <v/>
      </c>
      <c r="T68" s="166" t="str">
        <f>IF(L68="","",VLOOKUP(L68,classifications!C:K,9,FALSE))</f>
        <v>Sparse</v>
      </c>
      <c r="U68" s="167">
        <f t="shared" si="37"/>
        <v>68.965517241379317</v>
      </c>
      <c r="V68" s="173">
        <f>IF(U68="","",IF($I$8="A",(RANK(U68,U$11:U$333)+COUNTIF(U$11:U68,U68)-1),(RANK(U68,U$11:U$333,1)+COUNTIF(U$11:U68,U68)-1)))</f>
        <v>2</v>
      </c>
      <c r="W68" s="174"/>
      <c r="X68" s="5" t="str">
        <f>IF(L68="","",VLOOKUP($L68,classifications!$C:$J,6,FALSE))</f>
        <v xml:space="preserve">Predominantly Rural </v>
      </c>
      <c r="Y68">
        <f t="shared" si="38"/>
        <v>68.965517241379317</v>
      </c>
      <c r="Z68" s="39">
        <f>IF(Y68="","",IF(I$8="A",(RANK(Y68,Y$11:Y$333,1)+COUNTIF(Y$11:Y68,Y68)-1),(RANK(Y68,Y$11:Y$333)+COUNTIF(Y$11:Y68,Y68)-1)))</f>
        <v>22</v>
      </c>
      <c r="AA68" s="177" t="str">
        <f>IF(L68="","",VLOOKUP($L68,classifications!C:I,7,FALSE))</f>
        <v>Predominantly Rural</v>
      </c>
      <c r="AB68" s="173" t="str">
        <f t="shared" si="39"/>
        <v/>
      </c>
      <c r="AC68" s="173" t="str">
        <f>IF(AB68="","",IF($I$8="A",(RANK(AB68,AB$11:AB$333)+COUNTIF(AB$11:AB68,AB68)-1),(RANK(AB68,AB$11:AB$333,1)+COUNTIF(AB$11:AB68,AB68)-1)))</f>
        <v/>
      </c>
      <c r="AD68" s="173"/>
      <c r="AE68" s="45">
        <f>IF(I$8="A",(RANK(AG68,AG$11:AG$333,1)+COUNTIF(AG$11:AG68,AG68)-1),(RANK(AG68,AG$11:AG$333)+COUNTIF(AG$11:AG68,AG68)-1))</f>
        <v>57</v>
      </c>
      <c r="AF68" t="str">
        <f>VLOOKUP(Profile!$J$5,Families!$C:$R,2,FALSE)</f>
        <v>Cheshire West &amp; Chester</v>
      </c>
      <c r="AG68" s="15">
        <f t="shared" si="15"/>
        <v>100</v>
      </c>
      <c r="AH68" s="46">
        <f t="shared" si="40"/>
        <v>57</v>
      </c>
      <c r="AI68" s="5" t="str">
        <f>IF(L68="","",VLOOKUP($L68,classifications!$C:$J,8,FALSE))</f>
        <v>Unitary</v>
      </c>
      <c r="AJ68" s="42">
        <f t="shared" si="41"/>
        <v>68.965517241379317</v>
      </c>
      <c r="AK68" s="39">
        <f>IF(AJ68="","",IF(I$8="A",(RANK(AJ68,AJ$11:AJ$333,1)+COUNTIF(AJ$11:AJ68,AJ68)-1),(RANK(AJ68,AJ$11:AJ$333)+COUNTIF(AJ$11:AJ68,AJ68)-1)))</f>
        <v>58</v>
      </c>
      <c r="AL68" s="3">
        <f t="shared" si="16"/>
        <v>58</v>
      </c>
      <c r="AM68" t="str">
        <f t="shared" si="6"/>
        <v>Shropshire</v>
      </c>
      <c r="AN68">
        <f t="shared" si="7"/>
        <v>68.965517241379317</v>
      </c>
      <c r="AP68" s="5" t="str">
        <f>IF(L68="","",VLOOKUP($L68,classifications!$C:$E,3,FALSE))</f>
        <v>West Midlands</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100</v>
      </c>
    </row>
    <row r="69" spans="1:50">
      <c r="A69" s="55" t="str">
        <f>$D$1&amp;59</f>
        <v>UA59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Stockton-on-Tees</v>
      </c>
      <c r="M69" s="109">
        <f t="shared" si="3"/>
        <v>66.666666666666657</v>
      </c>
      <c r="N69" s="104">
        <f t="shared" si="31"/>
        <v>66.666666666666657</v>
      </c>
      <c r="O69" s="89" t="str">
        <f t="shared" si="32"/>
        <v/>
      </c>
      <c r="P69" s="89" t="str">
        <f t="shared" si="33"/>
        <v/>
      </c>
      <c r="Q69" s="89" t="str">
        <f t="shared" si="34"/>
        <v/>
      </c>
      <c r="R69" s="85">
        <f t="shared" si="35"/>
        <v>66.666666666666657</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f>IF(I$8="A",(RANK(AG69,AG$11:AG$333,1)+COUNTIF(AG$11:AG69,AG69)-1),(RANK(AG69,AG$11:AG$333)+COUNTIF(AG$11:AG69,AG69)-1))</f>
        <v>58</v>
      </c>
      <c r="AF69" t="str">
        <f>VLOOKUP(Profile!$J$5,Families!$C:$R,2,FALSE)</f>
        <v>Cheshire West &amp; Chester</v>
      </c>
      <c r="AG69" s="15">
        <f t="shared" si="15"/>
        <v>100</v>
      </c>
      <c r="AH69" s="46">
        <f t="shared" si="40"/>
        <v>58</v>
      </c>
      <c r="AI69" s="5" t="str">
        <f>IF(L69="","",VLOOKUP($L69,classifications!$C:$J,8,FALSE))</f>
        <v>Unitary</v>
      </c>
      <c r="AJ69" s="42">
        <f t="shared" si="41"/>
        <v>66.666666666666657</v>
      </c>
      <c r="AK69" s="39">
        <f>IF(AJ69="","",IF(I$8="A",(RANK(AJ69,AJ$11:AJ$333,1)+COUNTIF(AJ$11:AJ69,AJ69)-1),(RANK(AJ69,AJ$11:AJ$333)+COUNTIF(AJ$11:AJ69,AJ69)-1)))</f>
        <v>59</v>
      </c>
      <c r="AL69" s="3">
        <f t="shared" si="16"/>
        <v>59</v>
      </c>
      <c r="AM69" t="str">
        <f t="shared" si="6"/>
        <v>Stockton-on-Tees</v>
      </c>
      <c r="AN69">
        <f t="shared" si="7"/>
        <v>66.666666666666657</v>
      </c>
      <c r="AP69" s="5" t="str">
        <f>IF(L69="","",VLOOKUP($L69,classifications!$C:$E,3,FALSE))</f>
        <v>NE</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UA60</v>
      </c>
      <c r="B70" s="56">
        <f>IF(ISERROR(VLOOKUP(A70,classifications!A:C,3,FALSE)),0,VLOOKUP(A70,classifications!A:C,3,FALSE))</f>
        <v>0</v>
      </c>
      <c r="C70" t="s">
        <v>41</v>
      </c>
      <c r="D70" t="str">
        <f>VLOOKUP($C70,classifications!$C:$J,4,FALSE)</f>
        <v>SD</v>
      </c>
      <c r="E70">
        <f>VLOOKUP(C70,classifications!C:K,9,FALSE)</f>
        <v>0</v>
      </c>
      <c r="F70">
        <f t="shared" si="0"/>
        <v>100</v>
      </c>
      <c r="G70" s="15"/>
      <c r="H70" s="41" t="str">
        <f t="shared" si="1"/>
        <v/>
      </c>
      <c r="I70" s="73" t="str">
        <f>IF(H70="","",IF($I$8="A",(RANK(H70,H$11:H$333,1)+COUNTIF(H$11:H70,H70)-1),(RANK(H70,H$11:H$333)+COUNTIF(H$11:H70,H70)-1)))</f>
        <v/>
      </c>
      <c r="J70" s="40"/>
      <c r="K70" s="35">
        <f t="shared" si="10"/>
        <v>60</v>
      </c>
      <c r="L70" t="str">
        <f t="shared" si="2"/>
        <v>Torbay</v>
      </c>
      <c r="M70" s="109">
        <f t="shared" si="3"/>
        <v>66.666666666666657</v>
      </c>
      <c r="N70" s="104">
        <f t="shared" si="31"/>
        <v>66.666666666666657</v>
      </c>
      <c r="O70" s="89" t="str">
        <f t="shared" si="32"/>
        <v/>
      </c>
      <c r="P70" s="89" t="str">
        <f t="shared" si="33"/>
        <v/>
      </c>
      <c r="Q70" s="89" t="str">
        <f t="shared" si="34"/>
        <v/>
      </c>
      <c r="R70" s="85">
        <f t="shared" si="35"/>
        <v>66.666666666666657</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f>IF(I$8="A",(RANK(AG70,AG$11:AG$333,1)+COUNTIF(AG$11:AG70,AG70)-1),(RANK(AG70,AG$11:AG$333)+COUNTIF(AG$11:AG70,AG70)-1))</f>
        <v>59</v>
      </c>
      <c r="AF70" t="str">
        <f>VLOOKUP(Profile!$J$5,Families!$C:$R,2,FALSE)</f>
        <v>Cheshire West &amp; Chester</v>
      </c>
      <c r="AG70" s="15">
        <f t="shared" si="15"/>
        <v>100</v>
      </c>
      <c r="AH70" s="46">
        <f t="shared" si="40"/>
        <v>59</v>
      </c>
      <c r="AI70" s="5" t="str">
        <f>IF(L70="","",VLOOKUP($L70,classifications!$C:$J,8,FALSE))</f>
        <v>Unitary</v>
      </c>
      <c r="AJ70" s="42">
        <f t="shared" si="41"/>
        <v>66.666666666666657</v>
      </c>
      <c r="AK70" s="39">
        <f>IF(AJ70="","",IF(I$8="A",(RANK(AJ70,AJ$11:AJ$333,1)+COUNTIF(AJ$11:AJ70,AJ70)-1),(RANK(AJ70,AJ$11:AJ$333)+COUNTIF(AJ$11:AJ70,AJ70)-1)))</f>
        <v>60</v>
      </c>
      <c r="AL70" s="3">
        <f t="shared" si="16"/>
        <v>60</v>
      </c>
      <c r="AM70" t="str">
        <f t="shared" si="6"/>
        <v>Torbay</v>
      </c>
      <c r="AN70">
        <f t="shared" si="7"/>
        <v>66.666666666666657</v>
      </c>
      <c r="AP70" s="5" t="str">
        <f>IF(L70="","",VLOOKUP($L70,classifications!$C:$E,3,FALSE))</f>
        <v>South West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UA61</v>
      </c>
      <c r="B71" s="56">
        <f>IF(ISERROR(VLOOKUP(A71,classifications!A:C,3,FALSE)),0,VLOOKUP(A71,classifications!A:C,3,FALSE))</f>
        <v>0</v>
      </c>
      <c r="C71" t="s">
        <v>305</v>
      </c>
      <c r="D71" t="str">
        <f>VLOOKUP($C71,classifications!$C:$J,4,FALSE)</f>
        <v>UA</v>
      </c>
      <c r="E71" t="str">
        <f>VLOOKUP(C71,classifications!C:K,9,FALSE)</f>
        <v>Sparse</v>
      </c>
      <c r="F71">
        <f t="shared" si="0"/>
        <v>87.878787878787875</v>
      </c>
      <c r="G71" s="15"/>
      <c r="H71" s="41">
        <f t="shared" si="1"/>
        <v>87.878787878787875</v>
      </c>
      <c r="I71" s="73">
        <f>IF(H71="","",IF($I$8="A",(RANK(H71,H$11:H$333,1)+COUNTIF(H$11:H71,H71)-1),(RANK(H71,H$11:H$333)+COUNTIF(H$11:H71,H71)-1)))</f>
        <v>42</v>
      </c>
      <c r="J71" s="40"/>
      <c r="K71" s="35">
        <f t="shared" si="10"/>
        <v>61</v>
      </c>
      <c r="L71" t="str">
        <f t="shared" si="2"/>
        <v>Warrington</v>
      </c>
      <c r="M71" s="109">
        <f t="shared" si="3"/>
        <v>62.5</v>
      </c>
      <c r="N71" s="104">
        <f t="shared" si="31"/>
        <v>62.5</v>
      </c>
      <c r="O71" s="89" t="str">
        <f t="shared" si="32"/>
        <v/>
      </c>
      <c r="P71" s="89" t="str">
        <f t="shared" si="33"/>
        <v/>
      </c>
      <c r="Q71" s="89" t="str">
        <f t="shared" si="34"/>
        <v/>
      </c>
      <c r="R71" s="85">
        <f t="shared" si="35"/>
        <v>62.5</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f>IF(I$8="A",(RANK(AG71,AG$11:AG$333,1)+COUNTIF(AG$11:AG71,AG71)-1),(RANK(AG71,AG$11:AG$333)+COUNTIF(AG$11:AG71,AG71)-1))</f>
        <v>60</v>
      </c>
      <c r="AF71" t="str">
        <f>VLOOKUP(Profile!$J$5,Families!$C:$R,2,FALSE)</f>
        <v>Cheshire West &amp; Chester</v>
      </c>
      <c r="AG71" s="15">
        <f t="shared" si="15"/>
        <v>100</v>
      </c>
      <c r="AH71" s="46">
        <f t="shared" si="40"/>
        <v>60</v>
      </c>
      <c r="AI71" s="5" t="str">
        <f>IF(L71="","",VLOOKUP($L71,classifications!$C:$J,8,FALSE))</f>
        <v>Unitary</v>
      </c>
      <c r="AJ71" s="42">
        <f t="shared" si="41"/>
        <v>62.5</v>
      </c>
      <c r="AK71" s="39">
        <f>IF(AJ71="","",IF(I$8="A",(RANK(AJ71,AJ$11:AJ$333,1)+COUNTIF(AJ$11:AJ71,AJ71)-1),(RANK(AJ71,AJ$11:AJ$333)+COUNTIF(AJ$11:AJ71,AJ71)-1)))</f>
        <v>61</v>
      </c>
      <c r="AL71" s="3">
        <f t="shared" si="16"/>
        <v>61</v>
      </c>
      <c r="AM71" t="str">
        <f t="shared" si="6"/>
        <v>Warrington</v>
      </c>
      <c r="AN71">
        <f t="shared" si="7"/>
        <v>62.5</v>
      </c>
      <c r="AP71" s="5" t="str">
        <f>IF(L71="","",VLOOKUP($L71,classifications!$C:$E,3,FALSE))</f>
        <v>North West</v>
      </c>
      <c r="AQ71" s="42">
        <f t="shared" si="42"/>
        <v>62.5</v>
      </c>
      <c r="AR71" s="39">
        <f>IF(AQ71="","",IF(I$8="A",(RANK(AQ71,AQ$11:AQ$333,1)+COUNTIF(AQ$11:AQ71,AQ71)-1),(RANK(AQ71,AQ$11:AQ$333)+COUNTIF(AQ$11:AQ71,AQ71)-1)))</f>
        <v>8</v>
      </c>
      <c r="AS71" s="3" t="str">
        <f t="shared" si="18"/>
        <v/>
      </c>
      <c r="AT71" s="39" t="str">
        <f t="shared" si="8"/>
        <v/>
      </c>
      <c r="AU71" s="42" t="str">
        <f t="shared" si="9"/>
        <v/>
      </c>
      <c r="AX71">
        <f>HLOOKUP($AX$9&amp;$AX$10,Data!$A$1:$ZT$1975,(MATCH($C71,Data!$A$1:$A$1975,0)),FALSE)</f>
        <v>87.878787878787875</v>
      </c>
    </row>
    <row r="72" spans="1:50">
      <c r="A72" s="55" t="str">
        <f>$D$1&amp;62</f>
        <v>UA62</v>
      </c>
      <c r="B72" s="56">
        <f>IF(ISERROR(VLOOKUP(A72,classifications!A:C,3,FALSE)),0,VLOOKUP(A72,classifications!A:C,3,FALSE))</f>
        <v>0</v>
      </c>
      <c r="C72" t="s">
        <v>44</v>
      </c>
      <c r="D72" t="str">
        <f>VLOOKUP($C72,classifications!$C:$J,4,FALSE)</f>
        <v>SD</v>
      </c>
      <c r="E72" t="str">
        <f>VLOOKUP(C72,classifications!C:K,9,FALSE)</f>
        <v>Sparse</v>
      </c>
      <c r="F72">
        <f t="shared" si="0"/>
        <v>71.428571428571431</v>
      </c>
      <c r="G72" s="15"/>
      <c r="H72" s="41" t="str">
        <f t="shared" si="1"/>
        <v/>
      </c>
      <c r="I72" s="73" t="str">
        <f>IF(H72="","",IF($I$8="A",(RANK(H72,H$11:H$333,1)+COUNTIF(H$11:H72,H72)-1),(RANK(H72,H$11:H$333)+COUNTIF(H$11:H72,H72)-1)))</f>
        <v/>
      </c>
      <c r="J72" s="40"/>
      <c r="K72" s="35">
        <f t="shared" si="10"/>
        <v>62</v>
      </c>
      <c r="L72" t="str">
        <f t="shared" si="2"/>
        <v>Rutland</v>
      </c>
      <c r="M72" s="109">
        <f t="shared" si="3"/>
        <v>60</v>
      </c>
      <c r="N72" s="104">
        <f t="shared" si="31"/>
        <v>60</v>
      </c>
      <c r="O72" s="89" t="str">
        <f t="shared" si="32"/>
        <v/>
      </c>
      <c r="P72" s="89" t="str">
        <f t="shared" si="33"/>
        <v/>
      </c>
      <c r="Q72" s="89" t="str">
        <f t="shared" si="34"/>
        <v/>
      </c>
      <c r="R72" s="85">
        <f t="shared" si="35"/>
        <v>60</v>
      </c>
      <c r="S72" s="41" t="str">
        <f t="shared" si="36"/>
        <v/>
      </c>
      <c r="T72" s="166" t="str">
        <f>IF(L72="","",VLOOKUP(L72,classifications!C:K,9,FALSE))</f>
        <v>Sparse</v>
      </c>
      <c r="U72" s="167">
        <f t="shared" si="37"/>
        <v>60</v>
      </c>
      <c r="V72" s="173">
        <f>IF(U72="","",IF($I$8="A",(RANK(U72,U$11:U$333)+COUNTIF(U$11:U72,U72)-1),(RANK(U72,U$11:U$333,1)+COUNTIF(U$11:U72,U72)-1)))</f>
        <v>1</v>
      </c>
      <c r="W72" s="174"/>
      <c r="X72" s="5" t="str">
        <f>IF(L72="","",VLOOKUP($L72,classifications!$C:$J,6,FALSE))</f>
        <v xml:space="preserve">Predominantly Rural </v>
      </c>
      <c r="Y72">
        <f t="shared" si="38"/>
        <v>60</v>
      </c>
      <c r="Z72" s="39">
        <f>IF(Y72="","",IF(I$8="A",(RANK(Y72,Y$11:Y$333,1)+COUNTIF(Y$11:Y72,Y72)-1),(RANK(Y72,Y$11:Y$333)+COUNTIF(Y$11:Y72,Y72)-1)))</f>
        <v>23</v>
      </c>
      <c r="AA72" s="177" t="str">
        <f>IF(L72="","",VLOOKUP($L72,classifications!C:I,7,FALSE))</f>
        <v>Predominantly Rural</v>
      </c>
      <c r="AB72" s="173" t="str">
        <f t="shared" si="39"/>
        <v/>
      </c>
      <c r="AC72" s="173" t="str">
        <f>IF(AB72="","",IF($I$8="A",(RANK(AB72,AB$11:AB$333)+COUNTIF(AB$11:AB72,AB72)-1),(RANK(AB72,AB$11:AB$333,1)+COUNTIF(AB$11:AB72,AB72)-1)))</f>
        <v/>
      </c>
      <c r="AD72" s="173"/>
      <c r="AE72" s="45">
        <f>IF(I$8="A",(RANK(AG72,AG$11:AG$333,1)+COUNTIF(AG$11:AG72,AG72)-1),(RANK(AG72,AG$11:AG$333)+COUNTIF(AG$11:AG72,AG72)-1))</f>
        <v>61</v>
      </c>
      <c r="AF72" t="str">
        <f>VLOOKUP(Profile!$J$5,Families!$C:$R,2,FALSE)</f>
        <v>Cheshire West &amp; Chester</v>
      </c>
      <c r="AG72" s="15">
        <f t="shared" si="15"/>
        <v>100</v>
      </c>
      <c r="AH72" s="46">
        <f t="shared" si="40"/>
        <v>61</v>
      </c>
      <c r="AI72" s="5" t="str">
        <f>IF(L72="","",VLOOKUP($L72,classifications!$C:$J,8,FALSE))</f>
        <v>Unitary</v>
      </c>
      <c r="AJ72" s="42">
        <f t="shared" si="41"/>
        <v>60</v>
      </c>
      <c r="AK72" s="39">
        <f>IF(AJ72="","",IF(I$8="A",(RANK(AJ72,AJ$11:AJ$333,1)+COUNTIF(AJ$11:AJ72,AJ72)-1),(RANK(AJ72,AJ$11:AJ$333)+COUNTIF(AJ$11:AJ72,AJ72)-1)))</f>
        <v>62</v>
      </c>
      <c r="AL72" s="3">
        <f t="shared" si="16"/>
        <v>62</v>
      </c>
      <c r="AM72" t="str">
        <f t="shared" si="6"/>
        <v>Rutland</v>
      </c>
      <c r="AN72">
        <f t="shared" si="7"/>
        <v>60</v>
      </c>
      <c r="AP72" s="5" t="str">
        <f>IF(L72="","",VLOOKUP($L72,classifications!$C:$E,3,FALSE))</f>
        <v>East Midlands</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71.428571428571431</v>
      </c>
    </row>
    <row r="73" spans="1:50">
      <c r="A73" s="55" t="str">
        <f>$D$1&amp;63</f>
        <v>UA63</v>
      </c>
      <c r="B73" s="56">
        <f>IF(ISERROR(VLOOKUP(A73,classifications!A:C,3,FALSE)),0,VLOOKUP(A73,classifications!A:C,3,FALSE))</f>
        <v>0</v>
      </c>
      <c r="C73" t="s">
        <v>228</v>
      </c>
      <c r="D73" t="str">
        <f>VLOOKUP($C73,classifications!$C:$J,4,FALSE)</f>
        <v>MD</v>
      </c>
      <c r="E73">
        <f>VLOOKUP(C73,classifications!C:K,9,FALSE)</f>
        <v>0</v>
      </c>
      <c r="F73">
        <f t="shared" si="0"/>
        <v>95</v>
      </c>
      <c r="G73" s="15"/>
      <c r="H73" s="41" t="str">
        <f t="shared" si="1"/>
        <v/>
      </c>
      <c r="I73" s="73" t="str">
        <f>IF(H73="","",IF($I$8="A",(RANK(H73,H$11:H$333,1)+COUNTIF(H$11:H73,H73)-1),(RANK(H73,H$11:H$333)+COUNTIF(H$11:H73,H73)-1)))</f>
        <v/>
      </c>
      <c r="J73" s="40"/>
      <c r="K73" s="35" t="str">
        <f t="shared" si="10"/>
        <v/>
      </c>
      <c r="L73" t="str">
        <f t="shared" si="2"/>
        <v/>
      </c>
      <c r="M73" s="109" t="str">
        <f t="shared" si="3"/>
        <v/>
      </c>
      <c r="N73" s="104" t="str">
        <f t="shared" si="31"/>
        <v/>
      </c>
      <c r="O73" s="89" t="str">
        <f t="shared" si="32"/>
        <v/>
      </c>
      <c r="P73" s="89" t="str">
        <f t="shared" si="33"/>
        <v/>
      </c>
      <c r="Q73" s="89" t="str">
        <f t="shared" si="34"/>
        <v/>
      </c>
      <c r="R73" s="85" t="str">
        <f t="shared" si="35"/>
        <v/>
      </c>
      <c r="S73" s="41" t="str">
        <f t="shared" si="36"/>
        <v/>
      </c>
      <c r="T73" s="166" t="str">
        <f>IF(L73="","",VLOOKUP(L73,classifications!C:K,9,FALSE))</f>
        <v/>
      </c>
      <c r="U73" s="167" t="str">
        <f t="shared" si="37"/>
        <v/>
      </c>
      <c r="V73" s="173" t="str">
        <f>IF(U73="","",IF($I$8="A",(RANK(U73,U$11:U$333)+COUNTIF(U$11:U73,U73)-1),(RANK(U73,U$11:U$333,1)+COUNTIF(U$11:U73,U73)-1)))</f>
        <v/>
      </c>
      <c r="W73" s="174"/>
      <c r="X73" s="5" t="str">
        <f>IF(L73="","",VLOOKUP($L73,classifications!$C:$J,6,FALSE))</f>
        <v/>
      </c>
      <c r="Y73" t="str">
        <f t="shared" si="38"/>
        <v/>
      </c>
      <c r="Z73" s="39" t="str">
        <f>IF(Y73="","",IF(I$8="A",(RANK(Y73,Y$11:Y$333,1)+COUNTIF(Y$11:Y73,Y73)-1),(RANK(Y73,Y$11:Y$333)+COUNTIF(Y$11:Y73,Y73)-1)))</f>
        <v/>
      </c>
      <c r="AA73" s="177" t="str">
        <f>IF(L73="","",VLOOKUP($L73,classifications!C:I,7,FALSE))</f>
        <v/>
      </c>
      <c r="AB73" s="173" t="str">
        <f t="shared" si="39"/>
        <v/>
      </c>
      <c r="AC73" s="173" t="str">
        <f>IF(AB73="","",IF($I$8="A",(RANK(AB73,AB$11:AB$333)+COUNTIF(AB$11:AB73,AB73)-1),(RANK(AB73,AB$11:AB$333,1)+COUNTIF(AB$11:AB73,AB73)-1)))</f>
        <v/>
      </c>
      <c r="AD73" s="173"/>
      <c r="AE73" s="45">
        <f>IF(I$8="A",(RANK(AG73,AG$11:AG$333,1)+COUNTIF(AG$11:AG73,AG73)-1),(RANK(AG73,AG$11:AG$333)+COUNTIF(AG$11:AG73,AG73)-1))</f>
        <v>62</v>
      </c>
      <c r="AF73" t="str">
        <f>VLOOKUP(Profile!$J$5,Families!$C:$R,2,FALSE)</f>
        <v>Cheshire West &amp; Chester</v>
      </c>
      <c r="AG73" s="15">
        <f t="shared" si="15"/>
        <v>100</v>
      </c>
      <c r="AH73" s="46">
        <f t="shared" si="40"/>
        <v>62</v>
      </c>
      <c r="AI73" s="5" t="str">
        <f>IF(L73="","",VLOOKUP($L73,classifications!$C:$J,8,FALSE))</f>
        <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95</v>
      </c>
    </row>
    <row r="74" spans="1:50">
      <c r="A74" s="55" t="str">
        <f>$D$1&amp;64</f>
        <v>UA64</v>
      </c>
      <c r="B74" s="56">
        <f>IF(ISERROR(VLOOKUP(A74,classifications!A:C,3,FALSE)),0,VLOOKUP(A74,classifications!A:C,3,FALSE))</f>
        <v>0</v>
      </c>
      <c r="C74" t="s">
        <v>46</v>
      </c>
      <c r="D74" t="str">
        <f>VLOOKUP($C74,classifications!$C:$J,4,FALSE)</f>
        <v>SD</v>
      </c>
      <c r="E74">
        <f>VLOOKUP(C74,classifications!C:K,9,FALSE)</f>
        <v>0</v>
      </c>
      <c r="F74">
        <f t="shared" si="0"/>
        <v>100</v>
      </c>
      <c r="G74" s="15"/>
      <c r="H74" s="41" t="str">
        <f t="shared" si="1"/>
        <v/>
      </c>
      <c r="I74" s="73" t="str">
        <f>IF(H74="","",IF($I$8="A",(RANK(H74,H$11:H$333,1)+COUNTIF(H$11:H74,H74)-1),(RANK(H74,H$11:H$333)+COUNTIF(H$11:H74,H74)-1)))</f>
        <v/>
      </c>
      <c r="J74" s="40"/>
      <c r="K74" s="35" t="str">
        <f t="shared" si="10"/>
        <v/>
      </c>
      <c r="L74" t="str">
        <f t="shared" si="2"/>
        <v/>
      </c>
      <c r="M74" s="109" t="str">
        <f t="shared" si="3"/>
        <v/>
      </c>
      <c r="N74" s="104" t="str">
        <f t="shared" si="31"/>
        <v/>
      </c>
      <c r="O74" s="89" t="str">
        <f t="shared" si="32"/>
        <v/>
      </c>
      <c r="P74" s="89" t="str">
        <f t="shared" si="33"/>
        <v/>
      </c>
      <c r="Q74" s="89" t="str">
        <f t="shared" si="34"/>
        <v/>
      </c>
      <c r="R74" s="85" t="str">
        <f t="shared" si="35"/>
        <v/>
      </c>
      <c r="S74" s="41" t="str">
        <f t="shared" si="36"/>
        <v/>
      </c>
      <c r="T74" s="166" t="str">
        <f>IF(L74="","",VLOOKUP(L74,classifications!C:K,9,FALSE))</f>
        <v/>
      </c>
      <c r="U74" s="167" t="str">
        <f t="shared" si="37"/>
        <v/>
      </c>
      <c r="V74" s="173" t="str">
        <f>IF(U74="","",IF($I$8="A",(RANK(U74,U$11:U$333)+COUNTIF(U$11:U74,U74)-1),(RANK(U74,U$11:U$333,1)+COUNTIF(U$11:U74,U74)-1)))</f>
        <v/>
      </c>
      <c r="W74" s="174"/>
      <c r="X74" s="5" t="str">
        <f>IF(L74="","",VLOOKUP($L74,classifications!$C:$J,6,FALSE))</f>
        <v/>
      </c>
      <c r="Y74" t="str">
        <f t="shared" si="38"/>
        <v/>
      </c>
      <c r="Z74" s="39" t="str">
        <f>IF(Y74="","",IF(I$8="A",(RANK(Y74,Y$11:Y$333,1)+COUNTIF(Y$11:Y74,Y74)-1),(RANK(Y74,Y$11:Y$333)+COUNTIF(Y$11:Y74,Y74)-1)))</f>
        <v/>
      </c>
      <c r="AA74" s="177" t="str">
        <f>IF(L74="","",VLOOKUP($L74,classifications!C:I,7,FALSE))</f>
        <v/>
      </c>
      <c r="AB74" s="173" t="str">
        <f t="shared" si="39"/>
        <v/>
      </c>
      <c r="AC74" s="173" t="str">
        <f>IF(AB74="","",IF($I$8="A",(RANK(AB74,AB$11:AB$333)+COUNTIF(AB$11:AB74,AB74)-1),(RANK(AB74,AB$11:AB$333,1)+COUNTIF(AB$11:AB74,AB74)-1)))</f>
        <v/>
      </c>
      <c r="AD74" s="173"/>
      <c r="AE74" s="45">
        <f>IF(I$8="A",(RANK(AG74,AG$11:AG$333,1)+COUNTIF(AG$11:AG74,AG74)-1),(RANK(AG74,AG$11:AG$333)+COUNTIF(AG$11:AG74,AG74)-1))</f>
        <v>63</v>
      </c>
      <c r="AF74" t="str">
        <f>VLOOKUP(Profile!$J$5,Families!$C:$R,2,FALSE)</f>
        <v>Cheshire West &amp; Chester</v>
      </c>
      <c r="AG74" s="15">
        <f t="shared" si="15"/>
        <v>100</v>
      </c>
      <c r="AH74" s="46">
        <f t="shared" si="40"/>
        <v>63</v>
      </c>
      <c r="AI74" s="5" t="str">
        <f>IF(L74="","",VLOOKUP($L74,classifications!$C:$J,8,FALSE))</f>
        <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100</v>
      </c>
    </row>
    <row r="75" spans="1:50">
      <c r="A75" s="55" t="str">
        <f>$D$1&amp;65</f>
        <v>UA65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t="str">
        <f t="shared" si="10"/>
        <v/>
      </c>
      <c r="L75" t="str">
        <f t="shared" ref="L75:L138" si="45">IF(K75="","",INDEX(C$11:C$327,MATCH(K75,I$11:I$333,0)))</f>
        <v/>
      </c>
      <c r="M75" s="109" t="str">
        <f t="shared" ref="M75:M138" si="46">IF(L75="","",IF(VLOOKUP(L75,C:D,2,FALSE)=$F$3,VLOOKUP(L75,C:H,6,FALSE),""))</f>
        <v/>
      </c>
      <c r="N75" s="104" t="str">
        <f t="shared" si="31"/>
        <v/>
      </c>
      <c r="O75" s="89" t="str">
        <f t="shared" si="32"/>
        <v/>
      </c>
      <c r="P75" s="89" t="str">
        <f t="shared" si="33"/>
        <v/>
      </c>
      <c r="Q75" s="89" t="str">
        <f t="shared" si="34"/>
        <v/>
      </c>
      <c r="R75" s="85" t="str">
        <f t="shared" si="35"/>
        <v/>
      </c>
      <c r="S75" s="41" t="str">
        <f t="shared" si="36"/>
        <v/>
      </c>
      <c r="T75" s="166" t="str">
        <f>IF(L75="","",VLOOKUP(L75,classifications!C:K,9,FALSE))</f>
        <v/>
      </c>
      <c r="U75" s="167" t="str">
        <f t="shared" si="37"/>
        <v/>
      </c>
      <c r="V75" s="173" t="str">
        <f>IF(U75="","",IF($I$8="A",(RANK(U75,U$11:U$333)+COUNTIF(U$11:U75,U75)-1),(RANK(U75,U$11:U$333,1)+COUNTIF(U$11:U75,U75)-1)))</f>
        <v/>
      </c>
      <c r="W75" s="174"/>
      <c r="X75" s="5" t="str">
        <f>IF(L75="","",VLOOKUP($L75,classifications!$C:$J,6,FALSE))</f>
        <v/>
      </c>
      <c r="Y75" t="str">
        <f t="shared" si="38"/>
        <v/>
      </c>
      <c r="Z75" s="39" t="str">
        <f>IF(Y75="","",IF(I$8="A",(RANK(Y75,Y$11:Y$333,1)+COUNTIF(Y$11:Y75,Y75)-1),(RANK(Y75,Y$11:Y$333)+COUNTIF(Y$11:Y75,Y75)-1)))</f>
        <v/>
      </c>
      <c r="AA75" s="177" t="str">
        <f>IF(L75="","",VLOOKUP($L75,classifications!C:I,7,FALSE))</f>
        <v/>
      </c>
      <c r="AB75" s="173" t="str">
        <f t="shared" si="39"/>
        <v/>
      </c>
      <c r="AC75" s="173" t="str">
        <f>IF(AB75="","",IF($I$8="A",(RANK(AB75,AB$11:AB$333)+COUNTIF(AB$11:AB75,AB75)-1),(RANK(AB75,AB$11:AB$333,1)+COUNTIF(AB$11:AB75,AB75)-1)))</f>
        <v/>
      </c>
      <c r="AD75" s="173"/>
      <c r="AE75" s="45">
        <f>IF(I$8="A",(RANK(AG75,AG$11:AG$333,1)+COUNTIF(AG$11:AG75,AG75)-1),(RANK(AG75,AG$11:AG$333)+COUNTIF(AG$11:AG75,AG75)-1))</f>
        <v>64</v>
      </c>
      <c r="AF75" t="str">
        <f>VLOOKUP(Profile!$J$5,Families!$C:$R,2,FALSE)</f>
        <v>Cheshire West &amp; Chester</v>
      </c>
      <c r="AG75" s="15">
        <f t="shared" si="15"/>
        <v>100</v>
      </c>
      <c r="AH75" s="46">
        <f t="shared" si="40"/>
        <v>64</v>
      </c>
      <c r="AI75" s="5" t="str">
        <f>IF(L75="","",VLOOKUP($L75,classifications!$C:$J,8,FALSE))</f>
        <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UA66</v>
      </c>
      <c r="B76" s="56">
        <f>IF(ISERROR(VLOOKUP(A76,classifications!A:C,3,FALSE)),0,VLOOKUP(A76,classifications!A:C,3,FALSE))</f>
        <v>0</v>
      </c>
      <c r="C76" t="s">
        <v>47</v>
      </c>
      <c r="D76" t="str">
        <f>VLOOKUP($C76,classifications!$C:$J,4,FALSE)</f>
        <v>SD</v>
      </c>
      <c r="E76">
        <f>VLOOKUP(C76,classifications!C:K,9,FALSE)</f>
        <v>0</v>
      </c>
      <c r="F76">
        <f t="shared" si="43"/>
        <v>83.333333333333343</v>
      </c>
      <c r="G76" s="15"/>
      <c r="H76" s="41" t="str">
        <f t="shared" si="44"/>
        <v/>
      </c>
      <c r="I76" s="73" t="str">
        <f>IF(H76="","",IF($I$8="A",(RANK(H76,H$11:H$333,1)+COUNTIF(H$11:H76,H76)-1),(RANK(H76,H$11:H$333)+COUNTIF(H$11:H76,H76)-1)))</f>
        <v/>
      </c>
      <c r="J76" s="40"/>
      <c r="K76" s="35" t="str">
        <f t="shared" ref="K76:K139" si="51">IF(K75="","",IF(K75+1&gt;(COUNT(H$11:H$333)),"",K75+1))</f>
        <v/>
      </c>
      <c r="L76" t="str">
        <f t="shared" si="45"/>
        <v/>
      </c>
      <c r="M76" s="109" t="str">
        <f t="shared" si="46"/>
        <v/>
      </c>
      <c r="N76" s="104" t="str">
        <f t="shared" si="31"/>
        <v/>
      </c>
      <c r="O76" s="89" t="str">
        <f t="shared" si="32"/>
        <v/>
      </c>
      <c r="P76" s="89" t="str">
        <f t="shared" si="33"/>
        <v/>
      </c>
      <c r="Q76" s="89" t="str">
        <f t="shared" si="34"/>
        <v/>
      </c>
      <c r="R76" s="85" t="str">
        <f t="shared" si="35"/>
        <v/>
      </c>
      <c r="S76" s="41" t="str">
        <f t="shared" si="36"/>
        <v/>
      </c>
      <c r="T76" s="166" t="str">
        <f>IF(L76="","",VLOOKUP(L76,classifications!C:K,9,FALSE))</f>
        <v/>
      </c>
      <c r="U76" s="167" t="str">
        <f t="shared" si="37"/>
        <v/>
      </c>
      <c r="V76" s="173" t="str">
        <f>IF(U76="","",IF($I$8="A",(RANK(U76,U$11:U$333)+COUNTIF(U$11:U76,U76)-1),(RANK(U76,U$11:U$333,1)+COUNTIF(U$11:U76,U76)-1)))</f>
        <v/>
      </c>
      <c r="W76" s="174"/>
      <c r="X76" s="5" t="str">
        <f>IF(L76="","",VLOOKUP($L76,classifications!$C:$J,6,FALSE))</f>
        <v/>
      </c>
      <c r="Y76" t="str">
        <f t="shared" si="38"/>
        <v/>
      </c>
      <c r="Z76" s="39" t="str">
        <f>IF(Y76="","",IF(I$8="A",(RANK(Y76,Y$11:Y$333,1)+COUNTIF(Y$11:Y76,Y76)-1),(RANK(Y76,Y$11:Y$333)+COUNTIF(Y$11:Y76,Y76)-1)))</f>
        <v/>
      </c>
      <c r="AA76" s="177" t="str">
        <f>IF(L76="","",VLOOKUP($L76,classifications!C:I,7,FALSE))</f>
        <v/>
      </c>
      <c r="AB76" s="173" t="str">
        <f t="shared" si="39"/>
        <v/>
      </c>
      <c r="AC76" s="173" t="str">
        <f>IF(AB76="","",IF($I$8="A",(RANK(AB76,AB$11:AB$333)+COUNTIF(AB$11:AB76,AB76)-1),(RANK(AB76,AB$11:AB$333,1)+COUNTIF(AB$11:AB76,AB76)-1)))</f>
        <v/>
      </c>
      <c r="AD76" s="173"/>
      <c r="AE76" s="45">
        <f>IF(I$8="A",(RANK(AG76,AG$11:AG$333,1)+COUNTIF(AG$11:AG76,AG76)-1),(RANK(AG76,AG$11:AG$333)+COUNTIF(AG$11:AG76,AG76)-1))</f>
        <v>65</v>
      </c>
      <c r="AF76" t="str">
        <f>VLOOKUP(Profile!$J$5,Families!$C:$R,2,FALSE)</f>
        <v>Cheshire West &amp; Chester</v>
      </c>
      <c r="AG76" s="15">
        <f t="shared" ref="AG76:AG139" si="52">VLOOKUP(AF76,$C$11:$H$333,4,FALSE)</f>
        <v>100</v>
      </c>
      <c r="AH76" s="46">
        <f t="shared" si="40"/>
        <v>65</v>
      </c>
      <c r="AI76" s="5" t="str">
        <f>IF(L76="","",VLOOKUP($L76,classifications!$C:$J,8,FALSE))</f>
        <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83.333333333333343</v>
      </c>
    </row>
    <row r="77" spans="1:50">
      <c r="A77" s="55" t="str">
        <f>$D$1&amp;67</f>
        <v>UA67</v>
      </c>
      <c r="B77" s="56">
        <f>IF(ISERROR(VLOOKUP(A77,classifications!A:C,3,FALSE)),0,VLOOKUP(A77,classifications!A:C,3,FALSE))</f>
        <v>0</v>
      </c>
      <c r="C77" t="s">
        <v>264</v>
      </c>
      <c r="D77" t="str">
        <f>VLOOKUP($C77,classifications!$C:$J,4,FALSE)</f>
        <v>UA</v>
      </c>
      <c r="E77">
        <f>VLOOKUP(C77,classifications!C:K,9,FALSE)</f>
        <v>0</v>
      </c>
      <c r="F77">
        <f t="shared" si="43"/>
        <v>80</v>
      </c>
      <c r="G77" s="15"/>
      <c r="H77" s="41">
        <f t="shared" si="44"/>
        <v>80</v>
      </c>
      <c r="I77" s="73">
        <f>IF(H77="","",IF($I$8="A",(RANK(H77,H$11:H$333,1)+COUNTIF(H$11:H77,H77)-1),(RANK(H77,H$11:H$333)+COUNTIF(H$11:H77,H77)-1)))</f>
        <v>53</v>
      </c>
      <c r="J77" s="40"/>
      <c r="K77" s="35" t="str">
        <f t="shared" si="51"/>
        <v/>
      </c>
      <c r="L77" t="str">
        <f t="shared" si="45"/>
        <v/>
      </c>
      <c r="M77" s="109" t="str">
        <f t="shared" si="46"/>
        <v/>
      </c>
      <c r="N77" s="104" t="str">
        <f t="shared" si="31"/>
        <v/>
      </c>
      <c r="O77" s="89" t="str">
        <f t="shared" si="32"/>
        <v/>
      </c>
      <c r="P77" s="89" t="str">
        <f t="shared" si="33"/>
        <v/>
      </c>
      <c r="Q77" s="89" t="str">
        <f t="shared" si="34"/>
        <v/>
      </c>
      <c r="R77" s="85" t="str">
        <f t="shared" si="35"/>
        <v/>
      </c>
      <c r="S77" s="41" t="str">
        <f t="shared" si="36"/>
        <v/>
      </c>
      <c r="T77" s="166" t="str">
        <f>IF(L77="","",VLOOKUP(L77,classifications!C:K,9,FALSE))</f>
        <v/>
      </c>
      <c r="U77" s="167" t="str">
        <f t="shared" si="37"/>
        <v/>
      </c>
      <c r="V77" s="173" t="str">
        <f>IF(U77="","",IF($I$8="A",(RANK(U77,U$11:U$333)+COUNTIF(U$11:U77,U77)-1),(RANK(U77,U$11:U$333,1)+COUNTIF(U$11:U77,U77)-1)))</f>
        <v/>
      </c>
      <c r="W77" s="174"/>
      <c r="X77" s="5" t="str">
        <f>IF(L77="","",VLOOKUP($L77,classifications!$C:$J,6,FALSE))</f>
        <v/>
      </c>
      <c r="Y77" t="str">
        <f t="shared" si="38"/>
        <v/>
      </c>
      <c r="Z77" s="39" t="str">
        <f>IF(Y77="","",IF(I$8="A",(RANK(Y77,Y$11:Y$333,1)+COUNTIF(Y$11:Y77,Y77)-1),(RANK(Y77,Y$11:Y$333)+COUNTIF(Y$11:Y77,Y77)-1)))</f>
        <v/>
      </c>
      <c r="AA77" s="177" t="str">
        <f>IF(L77="","",VLOOKUP($L77,classifications!C:I,7,FALSE))</f>
        <v/>
      </c>
      <c r="AB77" s="173" t="str">
        <f t="shared" si="39"/>
        <v/>
      </c>
      <c r="AC77" s="173" t="str">
        <f>IF(AB77="","",IF($I$8="A",(RANK(AB77,AB$11:AB$333)+COUNTIF(AB$11:AB77,AB77)-1),(RANK(AB77,AB$11:AB$333,1)+COUNTIF(AB$11:AB77,AB77)-1)))</f>
        <v/>
      </c>
      <c r="AD77" s="173"/>
      <c r="AE77" s="45">
        <f>IF(I$8="A",(RANK(AG77,AG$11:AG$333,1)+COUNTIF(AG$11:AG77,AG77)-1),(RANK(AG77,AG$11:AG$333)+COUNTIF(AG$11:AG77,AG77)-1))</f>
        <v>66</v>
      </c>
      <c r="AF77" t="str">
        <f>VLOOKUP(Profile!$J$5,Families!$C:$R,2,FALSE)</f>
        <v>Cheshire West &amp; Chester</v>
      </c>
      <c r="AG77" s="15">
        <f t="shared" si="52"/>
        <v>100</v>
      </c>
      <c r="AH77" s="46">
        <f t="shared" si="40"/>
        <v>66</v>
      </c>
      <c r="AI77" s="5" t="str">
        <f>IF(L77="","",VLOOKUP($L77,classifications!$C:$J,8,FALSE))</f>
        <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80</v>
      </c>
    </row>
    <row r="78" spans="1:50">
      <c r="A78" s="55" t="str">
        <f>$D$1&amp;68</f>
        <v>UA68</v>
      </c>
      <c r="B78" s="56">
        <f>IF(ISERROR(VLOOKUP(A78,classifications!A:C,3,FALSE)),0,VLOOKUP(A78,classifications!A:C,3,FALSE))</f>
        <v>0</v>
      </c>
      <c r="C78" t="s">
        <v>48</v>
      </c>
      <c r="D78" t="str">
        <f>VLOOKUP($C78,classifications!$C:$J,4,FALSE)</f>
        <v>SD</v>
      </c>
      <c r="E78">
        <f>VLOOKUP(C78,classifications!C:K,9,FALSE)</f>
        <v>0</v>
      </c>
      <c r="F78">
        <f t="shared" si="43"/>
        <v>100</v>
      </c>
      <c r="G78" s="15"/>
      <c r="H78" s="41" t="str">
        <f t="shared" si="44"/>
        <v/>
      </c>
      <c r="I78" s="73" t="str">
        <f>IF(H78="","",IF($I$8="A",(RANK(H78,H$11:H$333,1)+COUNTIF(H$11:H78,H78)-1),(RANK(H78,H$11:H$333)+COUNTIF(H$11:H78,H78)-1)))</f>
        <v/>
      </c>
      <c r="J78" s="40"/>
      <c r="K78" s="35" t="str">
        <f t="shared" si="51"/>
        <v/>
      </c>
      <c r="L78" t="str">
        <f t="shared" si="45"/>
        <v/>
      </c>
      <c r="M78" s="109" t="str">
        <f t="shared" si="46"/>
        <v/>
      </c>
      <c r="N78" s="104" t="str">
        <f t="shared" si="31"/>
        <v/>
      </c>
      <c r="O78" s="89" t="str">
        <f t="shared" si="32"/>
        <v/>
      </c>
      <c r="P78" s="89" t="str">
        <f t="shared" si="33"/>
        <v/>
      </c>
      <c r="Q78" s="89" t="str">
        <f t="shared" si="34"/>
        <v/>
      </c>
      <c r="R78" s="85" t="str">
        <f t="shared" si="35"/>
        <v/>
      </c>
      <c r="S78" s="41" t="str">
        <f t="shared" si="36"/>
        <v/>
      </c>
      <c r="T78" s="166" t="str">
        <f>IF(L78="","",VLOOKUP(L78,classifications!C:K,9,FALSE))</f>
        <v/>
      </c>
      <c r="U78" s="167" t="str">
        <f t="shared" si="37"/>
        <v/>
      </c>
      <c r="V78" s="173" t="str">
        <f>IF(U78="","",IF($I$8="A",(RANK(U78,U$11:U$333)+COUNTIF(U$11:U78,U78)-1),(RANK(U78,U$11:U$333,1)+COUNTIF(U$11:U78,U78)-1)))</f>
        <v/>
      </c>
      <c r="W78" s="174"/>
      <c r="X78" s="5" t="str">
        <f>IF(L78="","",VLOOKUP($L78,classifications!$C:$J,6,FALSE))</f>
        <v/>
      </c>
      <c r="Y78" t="str">
        <f t="shared" si="38"/>
        <v/>
      </c>
      <c r="Z78" s="39" t="str">
        <f>IF(Y78="","",IF(I$8="A",(RANK(Y78,Y$11:Y$333,1)+COUNTIF(Y$11:Y78,Y78)-1),(RANK(Y78,Y$11:Y$333)+COUNTIF(Y$11:Y78,Y78)-1)))</f>
        <v/>
      </c>
      <c r="AA78" s="177" t="str">
        <f>IF(L78="","",VLOOKUP($L78,classifications!C:I,7,FALSE))</f>
        <v/>
      </c>
      <c r="AB78" s="173" t="str">
        <f t="shared" si="39"/>
        <v/>
      </c>
      <c r="AC78" s="173" t="str">
        <f>IF(AB78="","",IF($I$8="A",(RANK(AB78,AB$11:AB$333)+COUNTIF(AB$11:AB78,AB78)-1),(RANK(AB78,AB$11:AB$333,1)+COUNTIF(AB$11:AB78,AB78)-1)))</f>
        <v/>
      </c>
      <c r="AD78" s="173"/>
      <c r="AE78" s="45">
        <f>IF(I$8="A",(RANK(AG78,AG$11:AG$333,1)+COUNTIF(AG$11:AG78,AG78)-1),(RANK(AG78,AG$11:AG$333)+COUNTIF(AG$11:AG78,AG78)-1))</f>
        <v>67</v>
      </c>
      <c r="AF78" t="str">
        <f>VLOOKUP(Profile!$J$5,Families!$C:$R,2,FALSE)</f>
        <v>Cheshire West &amp; Chester</v>
      </c>
      <c r="AG78" s="15">
        <f t="shared" si="52"/>
        <v>100</v>
      </c>
      <c r="AH78" s="46">
        <f t="shared" si="40"/>
        <v>67</v>
      </c>
      <c r="AI78" s="5" t="str">
        <f>IF(L78="","",VLOOKUP($L78,classifications!$C:$J,8,FALSE))</f>
        <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100</v>
      </c>
    </row>
    <row r="79" spans="1:50">
      <c r="A79" s="55" t="str">
        <f>$D$1&amp;69</f>
        <v>UA69</v>
      </c>
      <c r="B79" s="56">
        <f>IF(ISERROR(VLOOKUP(A79,classifications!A:C,3,FALSE)),0,VLOOKUP(A79,classifications!A:C,3,FALSE))</f>
        <v>0</v>
      </c>
      <c r="C79" t="s">
        <v>265</v>
      </c>
      <c r="D79" t="str">
        <f>VLOOKUP($C79,classifications!$C:$J,4,FALSE)</f>
        <v>UA</v>
      </c>
      <c r="E79">
        <f>VLOOKUP(C79,classifications!C:K,9,FALSE)</f>
        <v>0</v>
      </c>
      <c r="F79">
        <f t="shared" si="43"/>
        <v>100</v>
      </c>
      <c r="G79" s="15"/>
      <c r="H79" s="41">
        <f t="shared" si="44"/>
        <v>100</v>
      </c>
      <c r="I79" s="73">
        <f>IF(H79="","",IF($I$8="A",(RANK(H79,H$11:H$333,1)+COUNTIF(H$11:H79,H79)-1),(RANK(H79,H$11:H$333)+COUNTIF(H$11:H79,H79)-1)))</f>
        <v>6</v>
      </c>
      <c r="J79" s="40"/>
      <c r="K79" s="35" t="str">
        <f t="shared" si="51"/>
        <v/>
      </c>
      <c r="L79" t="str">
        <f t="shared" si="45"/>
        <v/>
      </c>
      <c r="M79" s="109" t="str">
        <f t="shared" si="46"/>
        <v/>
      </c>
      <c r="N79" s="104" t="str">
        <f t="shared" si="31"/>
        <v/>
      </c>
      <c r="O79" s="89" t="str">
        <f t="shared" si="32"/>
        <v/>
      </c>
      <c r="P79" s="89" t="str">
        <f t="shared" si="33"/>
        <v/>
      </c>
      <c r="Q79" s="89" t="str">
        <f t="shared" si="34"/>
        <v/>
      </c>
      <c r="R79" s="85" t="str">
        <f t="shared" si="35"/>
        <v/>
      </c>
      <c r="S79" s="41" t="str">
        <f t="shared" si="36"/>
        <v/>
      </c>
      <c r="T79" s="166" t="str">
        <f>IF(L79="","",VLOOKUP(L79,classifications!C:K,9,FALSE))</f>
        <v/>
      </c>
      <c r="U79" s="167" t="str">
        <f t="shared" si="37"/>
        <v/>
      </c>
      <c r="V79" s="173" t="str">
        <f>IF(U79="","",IF($I$8="A",(RANK(U79,U$11:U$333)+COUNTIF(U$11:U79,U79)-1),(RANK(U79,U$11:U$333,1)+COUNTIF(U$11:U79,U79)-1)))</f>
        <v/>
      </c>
      <c r="W79" s="174"/>
      <c r="X79" s="5" t="str">
        <f>IF(L79="","",VLOOKUP($L79,classifications!$C:$J,6,FALSE))</f>
        <v/>
      </c>
      <c r="Y79" t="str">
        <f t="shared" si="38"/>
        <v/>
      </c>
      <c r="Z79" s="39" t="str">
        <f>IF(Y79="","",IF(I$8="A",(RANK(Y79,Y$11:Y$333,1)+COUNTIF(Y$11:Y79,Y79)-1),(RANK(Y79,Y$11:Y$333)+COUNTIF(Y$11:Y79,Y79)-1)))</f>
        <v/>
      </c>
      <c r="AA79" s="177" t="str">
        <f>IF(L79="","",VLOOKUP($L79,classifications!C:I,7,FALSE))</f>
        <v/>
      </c>
      <c r="AB79" s="173" t="str">
        <f t="shared" si="39"/>
        <v/>
      </c>
      <c r="AC79" s="173" t="str">
        <f>IF(AB79="","",IF($I$8="A",(RANK(AB79,AB$11:AB$333)+COUNTIF(AB$11:AB79,AB79)-1),(RANK(AB79,AB$11:AB$333,1)+COUNTIF(AB$11:AB79,AB79)-1)))</f>
        <v/>
      </c>
      <c r="AD79" s="173"/>
      <c r="AE79" s="45">
        <f>IF(I$8="A",(RANK(AG79,AG$11:AG$333,1)+COUNTIF(AG$11:AG79,AG79)-1),(RANK(AG79,AG$11:AG$333)+COUNTIF(AG$11:AG79,AG79)-1))</f>
        <v>68</v>
      </c>
      <c r="AF79" t="str">
        <f>VLOOKUP(Profile!$J$5,Families!$C:$R,2,FALSE)</f>
        <v>Cheshire West &amp; Chester</v>
      </c>
      <c r="AG79" s="15">
        <f t="shared" si="52"/>
        <v>100</v>
      </c>
      <c r="AH79" s="46">
        <f t="shared" si="40"/>
        <v>68</v>
      </c>
      <c r="AI79" s="5" t="str">
        <f>IF(L79="","",VLOOKUP($L79,classifications!$C:$J,8,FALSE))</f>
        <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100</v>
      </c>
    </row>
    <row r="80" spans="1:50">
      <c r="A80" s="55" t="str">
        <f>$D$1&amp;70</f>
        <v>UA70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t="str">
        <f t="shared" si="51"/>
        <v/>
      </c>
      <c r="L80" t="str">
        <f t="shared" si="45"/>
        <v/>
      </c>
      <c r="M80" s="109" t="str">
        <f t="shared" si="46"/>
        <v/>
      </c>
      <c r="N80" s="104" t="str">
        <f t="shared" si="31"/>
        <v/>
      </c>
      <c r="O80" s="89" t="str">
        <f t="shared" si="32"/>
        <v/>
      </c>
      <c r="P80" s="89" t="str">
        <f t="shared" si="33"/>
        <v/>
      </c>
      <c r="Q80" s="89" t="str">
        <f t="shared" si="34"/>
        <v/>
      </c>
      <c r="R80" s="85" t="str">
        <f t="shared" si="35"/>
        <v/>
      </c>
      <c r="S80" s="41" t="str">
        <f t="shared" si="36"/>
        <v/>
      </c>
      <c r="T80" s="166" t="str">
        <f>IF(L80="","",VLOOKUP(L80,classifications!C:K,9,FALSE))</f>
        <v/>
      </c>
      <c r="U80" s="167" t="str">
        <f t="shared" si="37"/>
        <v/>
      </c>
      <c r="V80" s="173" t="str">
        <f>IF(U80="","",IF($I$8="A",(RANK(U80,U$11:U$333)+COUNTIF(U$11:U80,U80)-1),(RANK(U80,U$11:U$333,1)+COUNTIF(U$11:U80,U80)-1)))</f>
        <v/>
      </c>
      <c r="W80" s="174"/>
      <c r="X80" s="5" t="str">
        <f>IF(L80="","",VLOOKUP($L80,classifications!$C:$J,6,FALSE))</f>
        <v/>
      </c>
      <c r="Y80" t="str">
        <f t="shared" si="38"/>
        <v/>
      </c>
      <c r="Z80" s="39" t="str">
        <f>IF(Y80="","",IF(I$8="A",(RANK(Y80,Y$11:Y$333,1)+COUNTIF(Y$11:Y80,Y80)-1),(RANK(Y80,Y$11:Y$333)+COUNTIF(Y$11:Y80,Y80)-1)))</f>
        <v/>
      </c>
      <c r="AA80" s="177" t="str">
        <f>IF(L80="","",VLOOKUP($L80,classifications!C:I,7,FALSE))</f>
        <v/>
      </c>
      <c r="AB80" s="173" t="str">
        <f t="shared" si="39"/>
        <v/>
      </c>
      <c r="AC80" s="173" t="str">
        <f>IF(AB80="","",IF($I$8="A",(RANK(AB80,AB$11:AB$333)+COUNTIF(AB$11:AB80,AB80)-1),(RANK(AB80,AB$11:AB$333,1)+COUNTIF(AB$11:AB80,AB80)-1)))</f>
        <v/>
      </c>
      <c r="AD80" s="173"/>
      <c r="AE80" s="45">
        <f>IF(I$8="A",(RANK(AG80,AG$11:AG$333,1)+COUNTIF(AG$11:AG80,AG80)-1),(RANK(AG80,AG$11:AG$333)+COUNTIF(AG$11:AG80,AG80)-1))</f>
        <v>69</v>
      </c>
      <c r="AF80" t="str">
        <f>VLOOKUP(Profile!$J$5,Families!$C:$R,2,FALSE)</f>
        <v>Cheshire West &amp; Chester</v>
      </c>
      <c r="AG80" s="15">
        <f t="shared" si="52"/>
        <v>100</v>
      </c>
      <c r="AH80" s="46">
        <f t="shared" si="40"/>
        <v>69</v>
      </c>
      <c r="AI80" s="5" t="str">
        <f>IF(L80="","",VLOOKUP($L80,classifications!$C:$J,8,FALSE))</f>
        <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UA71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t="str">
        <f t="shared" si="44"/>
        <v/>
      </c>
      <c r="I81" s="73" t="str">
        <f>IF(H81="","",IF($I$8="A",(RANK(H81,H$11:H$333,1)+COUNTIF(H$11:H81,H81)-1),(RANK(H81,H$11:H$333)+COUNTIF(H$11:H81,H81)-1)))</f>
        <v/>
      </c>
      <c r="J81" s="40"/>
      <c r="K81" s="35" t="str">
        <f t="shared" si="51"/>
        <v/>
      </c>
      <c r="L81" t="str">
        <f t="shared" si="45"/>
        <v/>
      </c>
      <c r="M81" s="109" t="str">
        <f t="shared" si="46"/>
        <v/>
      </c>
      <c r="N81" s="104" t="str">
        <f t="shared" si="31"/>
        <v/>
      </c>
      <c r="O81" s="89" t="str">
        <f t="shared" si="32"/>
        <v/>
      </c>
      <c r="P81" s="89" t="str">
        <f t="shared" si="33"/>
        <v/>
      </c>
      <c r="Q81" s="89" t="str">
        <f t="shared" si="34"/>
        <v/>
      </c>
      <c r="R81" s="85" t="str">
        <f t="shared" si="35"/>
        <v/>
      </c>
      <c r="S81" s="41" t="str">
        <f t="shared" si="36"/>
        <v/>
      </c>
      <c r="T81" s="166" t="str">
        <f>IF(L81="","",VLOOKUP(L81,classifications!C:K,9,FALSE))</f>
        <v/>
      </c>
      <c r="U81" s="167" t="str">
        <f t="shared" si="37"/>
        <v/>
      </c>
      <c r="V81" s="173" t="str">
        <f>IF(U81="","",IF($I$8="A",(RANK(U81,U$11:U$333)+COUNTIF(U$11:U81,U81)-1),(RANK(U81,U$11:U$333,1)+COUNTIF(U$11:U81,U81)-1)))</f>
        <v/>
      </c>
      <c r="W81" s="174"/>
      <c r="X81" s="5" t="str">
        <f>IF(L81="","",VLOOKUP($L81,classifications!$C:$J,6,FALSE))</f>
        <v/>
      </c>
      <c r="Y81" t="str">
        <f t="shared" si="38"/>
        <v/>
      </c>
      <c r="Z81" s="39" t="str">
        <f>IF(Y81="","",IF(I$8="A",(RANK(Y81,Y$11:Y$333,1)+COUNTIF(Y$11:Y81,Y81)-1),(RANK(Y81,Y$11:Y$333)+COUNTIF(Y$11:Y81,Y81)-1)))</f>
        <v/>
      </c>
      <c r="AA81" s="177" t="str">
        <f>IF(L81="","",VLOOKUP($L81,classifications!C:I,7,FALSE))</f>
        <v/>
      </c>
      <c r="AB81" s="173" t="str">
        <f t="shared" si="39"/>
        <v/>
      </c>
      <c r="AC81" s="173" t="str">
        <f>IF(AB81="","",IF($I$8="A",(RANK(AB81,AB$11:AB$333)+COUNTIF(AB$11:AB81,AB81)-1),(RANK(AB81,AB$11:AB$333,1)+COUNTIF(AB$11:AB81,AB81)-1)))</f>
        <v/>
      </c>
      <c r="AD81" s="173"/>
      <c r="AE81" s="45">
        <f>IF(I$8="A",(RANK(AG81,AG$11:AG$333,1)+COUNTIF(AG$11:AG81,AG81)-1),(RANK(AG81,AG$11:AG$333)+COUNTIF(AG$11:AG81,AG81)-1))</f>
        <v>70</v>
      </c>
      <c r="AF81" t="str">
        <f>VLOOKUP(Profile!$J$5,Families!$C:$R,2,FALSE)</f>
        <v>Cheshire West &amp; Chester</v>
      </c>
      <c r="AG81" s="15">
        <f t="shared" si="52"/>
        <v>100</v>
      </c>
      <c r="AH81" s="46">
        <f t="shared" si="40"/>
        <v>70</v>
      </c>
      <c r="AI81" s="5" t="str">
        <f>IF(L81="","",VLOOKUP($L81,classifications!$C:$J,8,FALSE))</f>
        <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UA72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t="str">
        <f t="shared" si="51"/>
        <v/>
      </c>
      <c r="L82" t="str">
        <f t="shared" si="45"/>
        <v/>
      </c>
      <c r="M82" s="109" t="str">
        <f t="shared" si="46"/>
        <v/>
      </c>
      <c r="N82" s="104" t="str">
        <f t="shared" si="31"/>
        <v/>
      </c>
      <c r="O82" s="89" t="str">
        <f t="shared" si="32"/>
        <v/>
      </c>
      <c r="P82" s="89" t="str">
        <f t="shared" si="33"/>
        <v/>
      </c>
      <c r="Q82" s="89" t="str">
        <f t="shared" si="34"/>
        <v/>
      </c>
      <c r="R82" s="85" t="str">
        <f t="shared" si="35"/>
        <v/>
      </c>
      <c r="S82" s="41" t="str">
        <f t="shared" si="36"/>
        <v/>
      </c>
      <c r="T82" s="166" t="str">
        <f>IF(L82="","",VLOOKUP(L82,classifications!C:K,9,FALSE))</f>
        <v/>
      </c>
      <c r="U82" s="167" t="str">
        <f t="shared" si="37"/>
        <v/>
      </c>
      <c r="V82" s="173" t="str">
        <f>IF(U82="","",IF($I$8="A",(RANK(U82,U$11:U$333)+COUNTIF(U$11:U82,U82)-1),(RANK(U82,U$11:U$333,1)+COUNTIF(U$11:U82,U82)-1)))</f>
        <v/>
      </c>
      <c r="W82" s="174"/>
      <c r="X82" s="5" t="str">
        <f>IF(L82="","",VLOOKUP($L82,classifications!$C:$J,6,FALSE))</f>
        <v/>
      </c>
      <c r="Y82" t="str">
        <f t="shared" si="38"/>
        <v/>
      </c>
      <c r="Z82" s="39" t="str">
        <f>IF(Y82="","",IF(I$8="A",(RANK(Y82,Y$11:Y$333,1)+COUNTIF(Y$11:Y82,Y82)-1),(RANK(Y82,Y$11:Y$333)+COUNTIF(Y$11:Y82,Y82)-1)))</f>
        <v/>
      </c>
      <c r="AA82" s="177" t="str">
        <f>IF(L82="","",VLOOKUP($L82,classifications!C:I,7,FALSE))</f>
        <v/>
      </c>
      <c r="AB82" s="173" t="str">
        <f t="shared" si="39"/>
        <v/>
      </c>
      <c r="AC82" s="173" t="str">
        <f>IF(AB82="","",IF($I$8="A",(RANK(AB82,AB$11:AB$333)+COUNTIF(AB$11:AB82,AB82)-1),(RANK(AB82,AB$11:AB$333,1)+COUNTIF(AB$11:AB82,AB82)-1)))</f>
        <v/>
      </c>
      <c r="AD82" s="173"/>
      <c r="AE82" s="45">
        <f>IF(I$8="A",(RANK(AG82,AG$11:AG$333,1)+COUNTIF(AG$11:AG82,AG82)-1),(RANK(AG82,AG$11:AG$333)+COUNTIF(AG$11:AG82,AG82)-1))</f>
        <v>71</v>
      </c>
      <c r="AF82" t="str">
        <f>VLOOKUP(Profile!$J$5,Families!$C:$R,2,FALSE)</f>
        <v>Cheshire West &amp; Chester</v>
      </c>
      <c r="AG82" s="15">
        <f t="shared" si="52"/>
        <v>100</v>
      </c>
      <c r="AH82" s="46">
        <f t="shared" si="40"/>
        <v>71</v>
      </c>
      <c r="AI82" s="5" t="str">
        <f>IF(L82="","",VLOOKUP($L82,classifications!$C:$J,8,FALSE))</f>
        <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UA73</v>
      </c>
      <c r="B83" s="56">
        <f>IF(ISERROR(VLOOKUP(A83,classifications!A:C,3,FALSE)),0,VLOOKUP(A83,classifications!A:C,3,FALSE))</f>
        <v>0</v>
      </c>
      <c r="C83" t="s">
        <v>229</v>
      </c>
      <c r="D83" t="str">
        <f>VLOOKUP($C83,classifications!$C:$J,4,FALSE)</f>
        <v>MD</v>
      </c>
      <c r="E83">
        <f>VLOOKUP(C83,classifications!C:K,9,FALSE)</f>
        <v>0</v>
      </c>
      <c r="F83">
        <f t="shared" si="43"/>
        <v>93.75</v>
      </c>
      <c r="G83" s="15"/>
      <c r="H83" s="41" t="str">
        <f t="shared" si="44"/>
        <v/>
      </c>
      <c r="I83" s="73" t="str">
        <f>IF(H83="","",IF($I$8="A",(RANK(H83,H$11:H$333,1)+COUNTIF(H$11:H83,H83)-1),(RANK(H83,H$11:H$333)+COUNTIF(H$11:H83,H83)-1)))</f>
        <v/>
      </c>
      <c r="J83" s="40"/>
      <c r="K83" s="35" t="str">
        <f t="shared" si="51"/>
        <v/>
      </c>
      <c r="L83" t="str">
        <f t="shared" si="45"/>
        <v/>
      </c>
      <c r="M83" s="109" t="str">
        <f t="shared" si="46"/>
        <v/>
      </c>
      <c r="N83" s="104" t="str">
        <f t="shared" si="31"/>
        <v/>
      </c>
      <c r="O83" s="89" t="str">
        <f t="shared" si="32"/>
        <v/>
      </c>
      <c r="P83" s="89" t="str">
        <f t="shared" si="33"/>
        <v/>
      </c>
      <c r="Q83" s="89" t="str">
        <f t="shared" si="34"/>
        <v/>
      </c>
      <c r="R83" s="85" t="str">
        <f t="shared" si="35"/>
        <v/>
      </c>
      <c r="S83" s="41" t="str">
        <f t="shared" si="36"/>
        <v/>
      </c>
      <c r="T83" s="166" t="str">
        <f>IF(L83="","",VLOOKUP(L83,classifications!C:K,9,FALSE))</f>
        <v/>
      </c>
      <c r="U83" s="167" t="str">
        <f t="shared" si="37"/>
        <v/>
      </c>
      <c r="V83" s="173" t="str">
        <f>IF(U83="","",IF($I$8="A",(RANK(U83,U$11:U$333)+COUNTIF(U$11:U83,U83)-1),(RANK(U83,U$11:U$333,1)+COUNTIF(U$11:U83,U83)-1)))</f>
        <v/>
      </c>
      <c r="W83" s="174"/>
      <c r="X83" s="5" t="str">
        <f>IF(L83="","",VLOOKUP($L83,classifications!$C:$J,6,FALSE))</f>
        <v/>
      </c>
      <c r="Y83" t="str">
        <f t="shared" si="38"/>
        <v/>
      </c>
      <c r="Z83" s="39" t="str">
        <f>IF(Y83="","",IF(I$8="A",(RANK(Y83,Y$11:Y$333,1)+COUNTIF(Y$11:Y83,Y83)-1),(RANK(Y83,Y$11:Y$333)+COUNTIF(Y$11:Y83,Y83)-1)))</f>
        <v/>
      </c>
      <c r="AA83" s="177" t="str">
        <f>IF(L83="","",VLOOKUP($L83,classifications!C:I,7,FALSE))</f>
        <v/>
      </c>
      <c r="AB83" s="173" t="str">
        <f t="shared" si="39"/>
        <v/>
      </c>
      <c r="AC83" s="173" t="str">
        <f>IF(AB83="","",IF($I$8="A",(RANK(AB83,AB$11:AB$333)+COUNTIF(AB$11:AB83,AB83)-1),(RANK(AB83,AB$11:AB$333,1)+COUNTIF(AB$11:AB83,AB83)-1)))</f>
        <v/>
      </c>
      <c r="AD83" s="173"/>
      <c r="AE83" s="45">
        <f>IF(I$8="A",(RANK(AG83,AG$11:AG$333,1)+COUNTIF(AG$11:AG83,AG83)-1),(RANK(AG83,AG$11:AG$333)+COUNTIF(AG$11:AG83,AG83)-1))</f>
        <v>72</v>
      </c>
      <c r="AF83" t="str">
        <f>VLOOKUP(Profile!$J$5,Families!$C:$R,2,FALSE)</f>
        <v>Cheshire West &amp; Chester</v>
      </c>
      <c r="AG83" s="15">
        <f t="shared" si="52"/>
        <v>100</v>
      </c>
      <c r="AH83" s="46">
        <f t="shared" si="40"/>
        <v>72</v>
      </c>
      <c r="AI83" s="5" t="str">
        <f>IF(L83="","",VLOOKUP($L83,classifications!$C:$J,8,FALSE))</f>
        <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93.75</v>
      </c>
    </row>
    <row r="84" spans="1:50">
      <c r="A84" s="55" t="str">
        <f>$D$1&amp;74</f>
        <v>UA74</v>
      </c>
      <c r="B84" s="56">
        <f>IF(ISERROR(VLOOKUP(A84,classifications!A:C,3,FALSE)),0,VLOOKUP(A84,classifications!A:C,3,FALSE))</f>
        <v>0</v>
      </c>
      <c r="C84" t="s">
        <v>309</v>
      </c>
      <c r="D84" t="str">
        <f>VLOOKUP($C84,classifications!$C:$J,4,FALSE)</f>
        <v>UA</v>
      </c>
      <c r="E84">
        <f>VLOOKUP(C84,classifications!C:K,9,FALSE)</f>
        <v>0</v>
      </c>
      <c r="F84">
        <f t="shared" si="43"/>
        <v>85.714285714285708</v>
      </c>
      <c r="G84" s="15"/>
      <c r="H84" s="41">
        <f t="shared" si="44"/>
        <v>85.714285714285708</v>
      </c>
      <c r="I84" s="73">
        <f>IF(H84="","",IF($I$8="A",(RANK(H84,H$11:H$333,1)+COUNTIF(H$11:H84,H84)-1),(RANK(H84,H$11:H$333)+COUNTIF(H$11:H84,H84)-1)))</f>
        <v>46</v>
      </c>
      <c r="J84" s="40"/>
      <c r="K84" s="35" t="str">
        <f t="shared" si="51"/>
        <v/>
      </c>
      <c r="L84" t="str">
        <f t="shared" si="45"/>
        <v/>
      </c>
      <c r="M84" s="109" t="str">
        <f t="shared" si="46"/>
        <v/>
      </c>
      <c r="N84" s="104" t="str">
        <f t="shared" si="31"/>
        <v/>
      </c>
      <c r="O84" s="89" t="str">
        <f t="shared" si="32"/>
        <v/>
      </c>
      <c r="P84" s="89" t="str">
        <f t="shared" si="33"/>
        <v/>
      </c>
      <c r="Q84" s="89" t="str">
        <f t="shared" si="34"/>
        <v/>
      </c>
      <c r="R84" s="85" t="str">
        <f t="shared" si="35"/>
        <v/>
      </c>
      <c r="S84" s="41" t="str">
        <f t="shared" si="36"/>
        <v/>
      </c>
      <c r="T84" s="166" t="str">
        <f>IF(L84="","",VLOOKUP(L84,classifications!C:K,9,FALSE))</f>
        <v/>
      </c>
      <c r="U84" s="167" t="str">
        <f t="shared" si="37"/>
        <v/>
      </c>
      <c r="V84" s="173" t="str">
        <f>IF(U84="","",IF($I$8="A",(RANK(U84,U$11:U$333)+COUNTIF(U$11:U84,U84)-1),(RANK(U84,U$11:U$333,1)+COUNTIF(U$11:U84,U84)-1)))</f>
        <v/>
      </c>
      <c r="W84" s="174"/>
      <c r="X84" s="5" t="str">
        <f>IF(L84="","",VLOOKUP($L84,classifications!$C:$J,6,FALSE))</f>
        <v/>
      </c>
      <c r="Y84" t="str">
        <f t="shared" si="38"/>
        <v/>
      </c>
      <c r="Z84" s="39" t="str">
        <f>IF(Y84="","",IF(I$8="A",(RANK(Y84,Y$11:Y$333,1)+COUNTIF(Y$11:Y84,Y84)-1),(RANK(Y84,Y$11:Y$333)+COUNTIF(Y$11:Y84,Y84)-1)))</f>
        <v/>
      </c>
      <c r="AA84" s="177" t="str">
        <f>IF(L84="","",VLOOKUP($L84,classifications!C:I,7,FALSE))</f>
        <v/>
      </c>
      <c r="AB84" s="173" t="str">
        <f t="shared" si="39"/>
        <v/>
      </c>
      <c r="AC84" s="173" t="str">
        <f>IF(AB84="","",IF($I$8="A",(RANK(AB84,AB$11:AB$333)+COUNTIF(AB$11:AB84,AB84)-1),(RANK(AB84,AB$11:AB$333,1)+COUNTIF(AB$11:AB84,AB84)-1)))</f>
        <v/>
      </c>
      <c r="AD84" s="173"/>
      <c r="AE84" s="45">
        <f>IF(I$8="A",(RANK(AG84,AG$11:AG$333,1)+COUNTIF(AG$11:AG84,AG84)-1),(RANK(AG84,AG$11:AG$333)+COUNTIF(AG$11:AG84,AG84)-1))</f>
        <v>73</v>
      </c>
      <c r="AF84" t="str">
        <f>VLOOKUP(Profile!$J$5,Families!$C:$R,2,FALSE)</f>
        <v>Cheshire West &amp; Chester</v>
      </c>
      <c r="AG84" s="15">
        <f t="shared" si="52"/>
        <v>100</v>
      </c>
      <c r="AH84" s="46">
        <f t="shared" si="40"/>
        <v>73</v>
      </c>
      <c r="AI84" s="5" t="str">
        <f>IF(L84="","",VLOOKUP($L84,classifications!$C:$J,8,FALSE))</f>
        <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85.714285714285708</v>
      </c>
    </row>
    <row r="85" spans="1:50">
      <c r="A85" s="55" t="str">
        <f>$D$1&amp;75</f>
        <v>UA75</v>
      </c>
      <c r="B85" s="56">
        <f>IF(ISERROR(VLOOKUP(A85,classifications!A:C,3,FALSE)),0,VLOOKUP(A85,classifications!A:C,3,FALSE))</f>
        <v>0</v>
      </c>
      <c r="C85" t="s">
        <v>51</v>
      </c>
      <c r="D85" t="str">
        <f>VLOOKUP($C85,classifications!$C:$J,4,FALSE)</f>
        <v>SD</v>
      </c>
      <c r="E85">
        <f>VLOOKUP(C85,classifications!C:K,9,FALSE)</f>
        <v>0</v>
      </c>
      <c r="F85">
        <f t="shared" si="43"/>
        <v>83.333333333333343</v>
      </c>
      <c r="G85" s="15"/>
      <c r="H85" s="41" t="str">
        <f t="shared" si="44"/>
        <v/>
      </c>
      <c r="I85" s="73" t="str">
        <f>IF(H85="","",IF($I$8="A",(RANK(H85,H$11:H$333,1)+COUNTIF(H$11:H85,H85)-1),(RANK(H85,H$11:H$333)+COUNTIF(H$11:H85,H85)-1)))</f>
        <v/>
      </c>
      <c r="J85" s="40"/>
      <c r="K85" s="35" t="str">
        <f t="shared" si="51"/>
        <v/>
      </c>
      <c r="L85" t="str">
        <f t="shared" si="45"/>
        <v/>
      </c>
      <c r="M85" s="109" t="str">
        <f t="shared" si="46"/>
        <v/>
      </c>
      <c r="N85" s="104" t="str">
        <f t="shared" si="31"/>
        <v/>
      </c>
      <c r="O85" s="89" t="str">
        <f t="shared" si="32"/>
        <v/>
      </c>
      <c r="P85" s="89" t="str">
        <f t="shared" si="33"/>
        <v/>
      </c>
      <c r="Q85" s="89" t="str">
        <f t="shared" si="34"/>
        <v/>
      </c>
      <c r="R85" s="85" t="str">
        <f t="shared" si="35"/>
        <v/>
      </c>
      <c r="S85" s="41" t="str">
        <f t="shared" si="36"/>
        <v/>
      </c>
      <c r="T85" s="166" t="str">
        <f>IF(L85="","",VLOOKUP(L85,classifications!C:K,9,FALSE))</f>
        <v/>
      </c>
      <c r="U85" s="167" t="str">
        <f t="shared" si="37"/>
        <v/>
      </c>
      <c r="V85" s="173" t="str">
        <f>IF(U85="","",IF($I$8="A",(RANK(U85,U$11:U$333)+COUNTIF(U$11:U85,U85)-1),(RANK(U85,U$11:U$333,1)+COUNTIF(U$11:U85,U85)-1)))</f>
        <v/>
      </c>
      <c r="W85" s="174"/>
      <c r="X85" s="5" t="str">
        <f>IF(L85="","",VLOOKUP($L85,classifications!$C:$J,6,FALSE))</f>
        <v/>
      </c>
      <c r="Y85" t="str">
        <f t="shared" si="38"/>
        <v/>
      </c>
      <c r="Z85" s="39" t="str">
        <f>IF(Y85="","",IF(I$8="A",(RANK(Y85,Y$11:Y$333,1)+COUNTIF(Y$11:Y85,Y85)-1),(RANK(Y85,Y$11:Y$333)+COUNTIF(Y$11:Y85,Y85)-1)))</f>
        <v/>
      </c>
      <c r="AA85" s="177" t="str">
        <f>IF(L85="","",VLOOKUP($L85,classifications!C:I,7,FALSE))</f>
        <v/>
      </c>
      <c r="AB85" s="173" t="str">
        <f t="shared" si="39"/>
        <v/>
      </c>
      <c r="AC85" s="173" t="str">
        <f>IF(AB85="","",IF($I$8="A",(RANK(AB85,AB$11:AB$333)+COUNTIF(AB$11:AB85,AB85)-1),(RANK(AB85,AB$11:AB$333,1)+COUNTIF(AB$11:AB85,AB85)-1)))</f>
        <v/>
      </c>
      <c r="AD85" s="173"/>
      <c r="AE85" s="45">
        <f>IF(I$8="A",(RANK(AG85,AG$11:AG$333,1)+COUNTIF(AG$11:AG85,AG85)-1),(RANK(AG85,AG$11:AG$333)+COUNTIF(AG$11:AG85,AG85)-1))</f>
        <v>74</v>
      </c>
      <c r="AF85" t="str">
        <f>VLOOKUP(Profile!$J$5,Families!$C:$R,2,FALSE)</f>
        <v>Cheshire West &amp; Chester</v>
      </c>
      <c r="AG85" s="15">
        <f t="shared" si="52"/>
        <v>100</v>
      </c>
      <c r="AH85" s="46">
        <f t="shared" si="40"/>
        <v>74</v>
      </c>
      <c r="AI85" s="5" t="str">
        <f>IF(L85="","",VLOOKUP($L85,classifications!$C:$J,8,FALSE))</f>
        <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83.333333333333343</v>
      </c>
    </row>
    <row r="86" spans="1:50">
      <c r="A86" s="55" t="str">
        <f>$D$1&amp;76</f>
        <v>UA76</v>
      </c>
      <c r="B86" s="56">
        <f>IF(ISERROR(VLOOKUP(A86,classifications!A:C,3,FALSE)),0,VLOOKUP(A86,classifications!A:C,3,FALSE))</f>
        <v>0</v>
      </c>
      <c r="C86" t="s">
        <v>230</v>
      </c>
      <c r="D86" t="str">
        <f>VLOOKUP($C86,classifications!$C:$J,4,FALSE)</f>
        <v>MD</v>
      </c>
      <c r="E86">
        <f>VLOOKUP(C86,classifications!C:K,9,FALSE)</f>
        <v>0</v>
      </c>
      <c r="F86">
        <f t="shared" si="43"/>
        <v>87.5</v>
      </c>
      <c r="G86" s="15"/>
      <c r="H86" s="41" t="str">
        <f t="shared" si="44"/>
        <v/>
      </c>
      <c r="I86" s="73" t="str">
        <f>IF(H86="","",IF($I$8="A",(RANK(H86,H$11:H$333,1)+COUNTIF(H$11:H86,H86)-1),(RANK(H86,H$11:H$333)+COUNTIF(H$11:H86,H86)-1)))</f>
        <v/>
      </c>
      <c r="J86" s="40"/>
      <c r="K86" s="35" t="str">
        <f t="shared" si="51"/>
        <v/>
      </c>
      <c r="L86" t="str">
        <f t="shared" si="45"/>
        <v/>
      </c>
      <c r="M86" s="109" t="str">
        <f t="shared" si="46"/>
        <v/>
      </c>
      <c r="N86" s="104" t="str">
        <f t="shared" si="31"/>
        <v/>
      </c>
      <c r="O86" s="89" t="str">
        <f t="shared" si="32"/>
        <v/>
      </c>
      <c r="P86" s="89" t="str">
        <f t="shared" si="33"/>
        <v/>
      </c>
      <c r="Q86" s="89" t="str">
        <f t="shared" si="34"/>
        <v/>
      </c>
      <c r="R86" s="85" t="str">
        <f t="shared" si="35"/>
        <v/>
      </c>
      <c r="S86" s="41" t="str">
        <f t="shared" si="36"/>
        <v/>
      </c>
      <c r="T86" s="166" t="str">
        <f>IF(L86="","",VLOOKUP(L86,classifications!C:K,9,FALSE))</f>
        <v/>
      </c>
      <c r="U86" s="167" t="str">
        <f t="shared" si="37"/>
        <v/>
      </c>
      <c r="V86" s="173" t="str">
        <f>IF(U86="","",IF($I$8="A",(RANK(U86,U$11:U$333)+COUNTIF(U$11:U86,U86)-1),(RANK(U86,U$11:U$333,1)+COUNTIF(U$11:U86,U86)-1)))</f>
        <v/>
      </c>
      <c r="W86" s="174"/>
      <c r="X86" s="5" t="str">
        <f>IF(L86="","",VLOOKUP($L86,classifications!$C:$J,6,FALSE))</f>
        <v/>
      </c>
      <c r="Y86" t="str">
        <f t="shared" si="38"/>
        <v/>
      </c>
      <c r="Z86" s="39" t="str">
        <f>IF(Y86="","",IF(I$8="A",(RANK(Y86,Y$11:Y$333,1)+COUNTIF(Y$11:Y86,Y86)-1),(RANK(Y86,Y$11:Y$333)+COUNTIF(Y$11:Y86,Y86)-1)))</f>
        <v/>
      </c>
      <c r="AA86" s="177" t="str">
        <f>IF(L86="","",VLOOKUP($L86,classifications!C:I,7,FALSE))</f>
        <v/>
      </c>
      <c r="AB86" s="173" t="str">
        <f t="shared" si="39"/>
        <v/>
      </c>
      <c r="AC86" s="173" t="str">
        <f>IF(AB86="","",IF($I$8="A",(RANK(AB86,AB$11:AB$333)+COUNTIF(AB$11:AB86,AB86)-1),(RANK(AB86,AB$11:AB$333,1)+COUNTIF(AB$11:AB86,AB86)-1)))</f>
        <v/>
      </c>
      <c r="AD86" s="173"/>
      <c r="AE86" s="45">
        <f>IF(I$8="A",(RANK(AG86,AG$11:AG$333,1)+COUNTIF(AG$11:AG86,AG86)-1),(RANK(AG86,AG$11:AG$333)+COUNTIF(AG$11:AG86,AG86)-1))</f>
        <v>75</v>
      </c>
      <c r="AF86" t="str">
        <f>VLOOKUP(Profile!$J$5,Families!$C:$R,2,FALSE)</f>
        <v>Cheshire West &amp; Chester</v>
      </c>
      <c r="AG86" s="15">
        <f t="shared" si="52"/>
        <v>100</v>
      </c>
      <c r="AH86" s="46">
        <f t="shared" si="40"/>
        <v>75</v>
      </c>
      <c r="AI86" s="5" t="str">
        <f>IF(L86="","",VLOOKUP($L86,classifications!$C:$J,8,FALSE))</f>
        <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87.5</v>
      </c>
    </row>
    <row r="87" spans="1:50">
      <c r="A87" s="55" t="str">
        <f>$D$1&amp;77</f>
        <v>UA77</v>
      </c>
      <c r="B87" s="56">
        <f>IF(ISERROR(VLOOKUP(A87,classifications!A:C,3,FALSE)),0,VLOOKUP(A87,classifications!A:C,3,FALSE))</f>
        <v>0</v>
      </c>
      <c r="C87" t="s">
        <v>266</v>
      </c>
      <c r="D87" t="str">
        <f>VLOOKUP($C87,classifications!$C:$J,4,FALSE)</f>
        <v>UA</v>
      </c>
      <c r="E87" t="str">
        <f>VLOOKUP(C87,classifications!C:K,9,FALSE)</f>
        <v>Sparse</v>
      </c>
      <c r="F87">
        <f t="shared" si="43"/>
        <v>96.15384615384616</v>
      </c>
      <c r="G87" s="15"/>
      <c r="H87" s="41">
        <f t="shared" si="44"/>
        <v>96.15384615384616</v>
      </c>
      <c r="I87" s="73">
        <f>IF(H87="","",IF($I$8="A",(RANK(H87,H$11:H$333,1)+COUNTIF(H$11:H87,H87)-1),(RANK(H87,H$11:H$333)+COUNTIF(H$11:H87,H87)-1)))</f>
        <v>26</v>
      </c>
      <c r="J87" s="40"/>
      <c r="K87" s="35" t="str">
        <f t="shared" si="51"/>
        <v/>
      </c>
      <c r="L87" t="str">
        <f t="shared" si="45"/>
        <v/>
      </c>
      <c r="M87" s="109" t="str">
        <f t="shared" si="46"/>
        <v/>
      </c>
      <c r="N87" s="104" t="str">
        <f t="shared" si="31"/>
        <v/>
      </c>
      <c r="O87" s="89" t="str">
        <f t="shared" si="32"/>
        <v/>
      </c>
      <c r="P87" s="89" t="str">
        <f t="shared" si="33"/>
        <v/>
      </c>
      <c r="Q87" s="89" t="str">
        <f t="shared" si="34"/>
        <v/>
      </c>
      <c r="R87" s="85" t="str">
        <f t="shared" si="35"/>
        <v/>
      </c>
      <c r="S87" s="41" t="str">
        <f t="shared" si="36"/>
        <v/>
      </c>
      <c r="T87" s="166" t="str">
        <f>IF(L87="","",VLOOKUP(L87,classifications!C:K,9,FALSE))</f>
        <v/>
      </c>
      <c r="U87" s="167" t="str">
        <f t="shared" si="37"/>
        <v/>
      </c>
      <c r="V87" s="173" t="str">
        <f>IF(U87="","",IF($I$8="A",(RANK(U87,U$11:U$333)+COUNTIF(U$11:U87,U87)-1),(RANK(U87,U$11:U$333,1)+COUNTIF(U$11:U87,U87)-1)))</f>
        <v/>
      </c>
      <c r="W87" s="174"/>
      <c r="X87" s="5" t="str">
        <f>IF(L87="","",VLOOKUP($L87,classifications!$C:$J,6,FALSE))</f>
        <v/>
      </c>
      <c r="Y87" t="str">
        <f t="shared" si="38"/>
        <v/>
      </c>
      <c r="Z87" s="39" t="str">
        <f>IF(Y87="","",IF(I$8="A",(RANK(Y87,Y$11:Y$333,1)+COUNTIF(Y$11:Y87,Y87)-1),(RANK(Y87,Y$11:Y$333)+COUNTIF(Y$11:Y87,Y87)-1)))</f>
        <v/>
      </c>
      <c r="AA87" s="177" t="str">
        <f>IF(L87="","",VLOOKUP($L87,classifications!C:I,7,FALSE))</f>
        <v/>
      </c>
      <c r="AB87" s="173" t="str">
        <f t="shared" si="39"/>
        <v/>
      </c>
      <c r="AC87" s="173" t="str">
        <f>IF(AB87="","",IF($I$8="A",(RANK(AB87,AB$11:AB$333)+COUNTIF(AB$11:AB87,AB87)-1),(RANK(AB87,AB$11:AB$333,1)+COUNTIF(AB$11:AB87,AB87)-1)))</f>
        <v/>
      </c>
      <c r="AD87" s="173"/>
      <c r="AE87" s="45">
        <f>IF(I$8="A",(RANK(AG87,AG$11:AG$333,1)+COUNTIF(AG$11:AG87,AG87)-1),(RANK(AG87,AG$11:AG$333)+COUNTIF(AG$11:AG87,AG87)-1))</f>
        <v>76</v>
      </c>
      <c r="AF87" t="str">
        <f>VLOOKUP(Profile!$J$5,Families!$C:$R,2,FALSE)</f>
        <v>Cheshire West &amp; Chester</v>
      </c>
      <c r="AG87" s="15">
        <f t="shared" si="52"/>
        <v>100</v>
      </c>
      <c r="AH87" s="46">
        <f t="shared" si="40"/>
        <v>76</v>
      </c>
      <c r="AI87" s="5" t="str">
        <f>IF(L87="","",VLOOKUP($L87,classifications!$C:$J,8,FALSE))</f>
        <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96.15384615384616</v>
      </c>
    </row>
    <row r="88" spans="1:50">
      <c r="A88" s="55" t="str">
        <f>$D$1&amp;78</f>
        <v>UA78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t="str">
        <f t="shared" si="51"/>
        <v/>
      </c>
      <c r="L88" t="str">
        <f t="shared" si="45"/>
        <v/>
      </c>
      <c r="M88" s="109" t="str">
        <f t="shared" si="46"/>
        <v/>
      </c>
      <c r="N88" s="104" t="str">
        <f t="shared" si="31"/>
        <v/>
      </c>
      <c r="O88" s="89" t="str">
        <f t="shared" si="32"/>
        <v/>
      </c>
      <c r="P88" s="89" t="str">
        <f t="shared" si="33"/>
        <v/>
      </c>
      <c r="Q88" s="89" t="str">
        <f t="shared" si="34"/>
        <v/>
      </c>
      <c r="R88" s="85" t="str">
        <f t="shared" si="35"/>
        <v/>
      </c>
      <c r="S88" s="41" t="str">
        <f t="shared" si="36"/>
        <v/>
      </c>
      <c r="T88" s="166" t="str">
        <f>IF(L88="","",VLOOKUP(L88,classifications!C:K,9,FALSE))</f>
        <v/>
      </c>
      <c r="U88" s="167" t="str">
        <f t="shared" si="37"/>
        <v/>
      </c>
      <c r="V88" s="173" t="str">
        <f>IF(U88="","",IF($I$8="A",(RANK(U88,U$11:U$333)+COUNTIF(U$11:U88,U88)-1),(RANK(U88,U$11:U$333,1)+COUNTIF(U$11:U88,U88)-1)))</f>
        <v/>
      </c>
      <c r="W88" s="174"/>
      <c r="X88" s="5" t="str">
        <f>IF(L88="","",VLOOKUP($L88,classifications!$C:$J,6,FALSE))</f>
        <v/>
      </c>
      <c r="Y88" t="str">
        <f t="shared" si="38"/>
        <v/>
      </c>
      <c r="Z88" s="39" t="str">
        <f>IF(Y88="","",IF(I$8="A",(RANK(Y88,Y$11:Y$333,1)+COUNTIF(Y$11:Y88,Y88)-1),(RANK(Y88,Y$11:Y$333)+COUNTIF(Y$11:Y88,Y88)-1)))</f>
        <v/>
      </c>
      <c r="AA88" s="177" t="str">
        <f>IF(L88="","",VLOOKUP($L88,classifications!C:I,7,FALSE))</f>
        <v/>
      </c>
      <c r="AB88" s="173" t="str">
        <f t="shared" si="39"/>
        <v/>
      </c>
      <c r="AC88" s="173" t="str">
        <f>IF(AB88="","",IF($I$8="A",(RANK(AB88,AB$11:AB$333)+COUNTIF(AB$11:AB88,AB88)-1),(RANK(AB88,AB$11:AB$333,1)+COUNTIF(AB$11:AB88,AB88)-1)))</f>
        <v/>
      </c>
      <c r="AD88" s="173"/>
      <c r="AE88" s="45">
        <f>IF(I$8="A",(RANK(AG88,AG$11:AG$333,1)+COUNTIF(AG$11:AG88,AG88)-1),(RANK(AG88,AG$11:AG$333)+COUNTIF(AG$11:AG88,AG88)-1))</f>
        <v>77</v>
      </c>
      <c r="AF88" t="str">
        <f>VLOOKUP(Profile!$J$5,Families!$C:$R,2,FALSE)</f>
        <v>Cheshire West &amp; Chester</v>
      </c>
      <c r="AG88" s="15">
        <f t="shared" si="52"/>
        <v>100</v>
      </c>
      <c r="AH88" s="46">
        <f t="shared" si="40"/>
        <v>77</v>
      </c>
      <c r="AI88" s="5" t="str">
        <f>IF(L88="","",VLOOKUP($L88,classifications!$C:$J,8,FALSE))</f>
        <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UA79</v>
      </c>
      <c r="B89" s="56">
        <f>IF(ISERROR(VLOOKUP(A89,classifications!A:C,3,FALSE)),0,VLOOKUP(A89,classifications!A:C,3,FALSE))</f>
        <v>0</v>
      </c>
      <c r="C89" t="s">
        <v>52</v>
      </c>
      <c r="D89" t="str">
        <f>VLOOKUP($C89,classifications!$C:$J,4,FALSE)</f>
        <v>SD</v>
      </c>
      <c r="E89" t="str">
        <f>VLOOKUP(C89,classifications!C:K,9,FALSE)</f>
        <v>Sparse</v>
      </c>
      <c r="F89">
        <f t="shared" si="43"/>
        <v>100</v>
      </c>
      <c r="G89" s="15"/>
      <c r="H89" s="41" t="str">
        <f t="shared" si="44"/>
        <v/>
      </c>
      <c r="I89" s="73" t="str">
        <f>IF(H89="","",IF($I$8="A",(RANK(H89,H$11:H$333,1)+COUNTIF(H$11:H89,H89)-1),(RANK(H89,H$11:H$333)+COUNTIF(H$11:H89,H89)-1)))</f>
        <v/>
      </c>
      <c r="J89" s="40"/>
      <c r="K89" s="35" t="str">
        <f t="shared" si="51"/>
        <v/>
      </c>
      <c r="L89" t="str">
        <f t="shared" si="45"/>
        <v/>
      </c>
      <c r="M89" s="109" t="str">
        <f t="shared" si="46"/>
        <v/>
      </c>
      <c r="N89" s="104" t="str">
        <f t="shared" si="31"/>
        <v/>
      </c>
      <c r="O89" s="89" t="str">
        <f t="shared" si="32"/>
        <v/>
      </c>
      <c r="P89" s="89" t="str">
        <f t="shared" si="33"/>
        <v/>
      </c>
      <c r="Q89" s="89" t="str">
        <f t="shared" si="34"/>
        <v/>
      </c>
      <c r="R89" s="85" t="str">
        <f t="shared" si="35"/>
        <v/>
      </c>
      <c r="S89" s="41" t="str">
        <f t="shared" si="36"/>
        <v/>
      </c>
      <c r="T89" s="166" t="str">
        <f>IF(L89="","",VLOOKUP(L89,classifications!C:K,9,FALSE))</f>
        <v/>
      </c>
      <c r="U89" s="167" t="str">
        <f t="shared" si="37"/>
        <v/>
      </c>
      <c r="V89" s="173" t="str">
        <f>IF(U89="","",IF($I$8="A",(RANK(U89,U$11:U$333)+COUNTIF(U$11:U89,U89)-1),(RANK(U89,U$11:U$333,1)+COUNTIF(U$11:U89,U89)-1)))</f>
        <v/>
      </c>
      <c r="W89" s="174"/>
      <c r="X89" s="5" t="str">
        <f>IF(L89="","",VLOOKUP($L89,classifications!$C:$J,6,FALSE))</f>
        <v/>
      </c>
      <c r="Y89" t="str">
        <f t="shared" si="38"/>
        <v/>
      </c>
      <c r="Z89" s="39" t="str">
        <f>IF(Y89="","",IF(I$8="A",(RANK(Y89,Y$11:Y$333,1)+COUNTIF(Y$11:Y89,Y89)-1),(RANK(Y89,Y$11:Y$333)+COUNTIF(Y$11:Y89,Y89)-1)))</f>
        <v/>
      </c>
      <c r="AA89" s="177" t="str">
        <f>IF(L89="","",VLOOKUP($L89,classifications!C:I,7,FALSE))</f>
        <v/>
      </c>
      <c r="AB89" s="173" t="str">
        <f t="shared" si="39"/>
        <v/>
      </c>
      <c r="AC89" s="173" t="str">
        <f>IF(AB89="","",IF($I$8="A",(RANK(AB89,AB$11:AB$333)+COUNTIF(AB$11:AB89,AB89)-1),(RANK(AB89,AB$11:AB$333,1)+COUNTIF(AB$11:AB89,AB89)-1)))</f>
        <v/>
      </c>
      <c r="AD89" s="173"/>
      <c r="AE89" s="45">
        <f>IF(I$8="A",(RANK(AG89,AG$11:AG$333,1)+COUNTIF(AG$11:AG89,AG89)-1),(RANK(AG89,AG$11:AG$333)+COUNTIF(AG$11:AG89,AG89)-1))</f>
        <v>78</v>
      </c>
      <c r="AF89" t="str">
        <f>VLOOKUP(Profile!$J$5,Families!$C:$R,2,FALSE)</f>
        <v>Cheshire West &amp; Chester</v>
      </c>
      <c r="AG89" s="15">
        <f t="shared" si="52"/>
        <v>100</v>
      </c>
      <c r="AH89" s="46">
        <f t="shared" si="40"/>
        <v>78</v>
      </c>
      <c r="AI89" s="5" t="str">
        <f>IF(L89="","",VLOOKUP($L89,classifications!$C:$J,8,FALSE))</f>
        <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100</v>
      </c>
    </row>
    <row r="90" spans="1:50">
      <c r="A90" s="55" t="str">
        <f>$D$1&amp;80</f>
        <v>UA80</v>
      </c>
      <c r="B90" s="56">
        <f>IF(ISERROR(VLOOKUP(A90,classifications!A:C,3,FALSE)),0,VLOOKUP(A90,classifications!A:C,3,FALSE))</f>
        <v>0</v>
      </c>
      <c r="C90" t="s">
        <v>53</v>
      </c>
      <c r="D90" t="str">
        <f>VLOOKUP($C90,classifications!$C:$J,4,FALSE)</f>
        <v>SD</v>
      </c>
      <c r="E90" t="str">
        <f>VLOOKUP(C90,classifications!C:K,9,FALSE)</f>
        <v>Sparse</v>
      </c>
      <c r="F90">
        <f t="shared" si="43"/>
        <v>60</v>
      </c>
      <c r="G90" s="15"/>
      <c r="H90" s="41" t="str">
        <f t="shared" si="44"/>
        <v/>
      </c>
      <c r="I90" s="73" t="str">
        <f>IF(H90="","",IF($I$8="A",(RANK(H90,H$11:H$333,1)+COUNTIF(H$11:H90,H90)-1),(RANK(H90,H$11:H$333)+COUNTIF(H$11:H90,H90)-1)))</f>
        <v/>
      </c>
      <c r="J90" s="40"/>
      <c r="K90" s="35" t="str">
        <f t="shared" si="51"/>
        <v/>
      </c>
      <c r="L90" t="str">
        <f t="shared" si="45"/>
        <v/>
      </c>
      <c r="M90" s="109" t="str">
        <f t="shared" si="46"/>
        <v/>
      </c>
      <c r="N90" s="104" t="str">
        <f t="shared" si="31"/>
        <v/>
      </c>
      <c r="O90" s="89" t="str">
        <f t="shared" si="32"/>
        <v/>
      </c>
      <c r="P90" s="89" t="str">
        <f t="shared" si="33"/>
        <v/>
      </c>
      <c r="Q90" s="89" t="str">
        <f t="shared" si="34"/>
        <v/>
      </c>
      <c r="R90" s="85" t="str">
        <f t="shared" si="35"/>
        <v/>
      </c>
      <c r="S90" s="41" t="str">
        <f t="shared" si="36"/>
        <v/>
      </c>
      <c r="T90" s="166" t="str">
        <f>IF(L90="","",VLOOKUP(L90,classifications!C:K,9,FALSE))</f>
        <v/>
      </c>
      <c r="U90" s="167" t="str">
        <f t="shared" si="37"/>
        <v/>
      </c>
      <c r="V90" s="173" t="str">
        <f>IF(U90="","",IF($I$8="A",(RANK(U90,U$11:U$333)+COUNTIF(U$11:U90,U90)-1),(RANK(U90,U$11:U$333,1)+COUNTIF(U$11:U90,U90)-1)))</f>
        <v/>
      </c>
      <c r="W90" s="174"/>
      <c r="X90" s="5" t="str">
        <f>IF(L90="","",VLOOKUP($L90,classifications!$C:$J,6,FALSE))</f>
        <v/>
      </c>
      <c r="Y90" t="str">
        <f t="shared" si="38"/>
        <v/>
      </c>
      <c r="Z90" s="39" t="str">
        <f>IF(Y90="","",IF(I$8="A",(RANK(Y90,Y$11:Y$333,1)+COUNTIF(Y$11:Y90,Y90)-1),(RANK(Y90,Y$11:Y$333)+COUNTIF(Y$11:Y90,Y90)-1)))</f>
        <v/>
      </c>
      <c r="AA90" s="177" t="str">
        <f>IF(L90="","",VLOOKUP($L90,classifications!C:I,7,FALSE))</f>
        <v/>
      </c>
      <c r="AB90" s="173" t="str">
        <f t="shared" si="39"/>
        <v/>
      </c>
      <c r="AC90" s="173" t="str">
        <f>IF(AB90="","",IF($I$8="A",(RANK(AB90,AB$11:AB$333)+COUNTIF(AB$11:AB90,AB90)-1),(RANK(AB90,AB$11:AB$333,1)+COUNTIF(AB$11:AB90,AB90)-1)))</f>
        <v/>
      </c>
      <c r="AD90" s="173"/>
      <c r="AE90" s="45">
        <f>IF(I$8="A",(RANK(AG90,AG$11:AG$333,1)+COUNTIF(AG$11:AG90,AG90)-1),(RANK(AG90,AG$11:AG$333)+COUNTIF(AG$11:AG90,AG90)-1))</f>
        <v>79</v>
      </c>
      <c r="AF90" t="str">
        <f>VLOOKUP(Profile!$J$5,Families!$C:$R,2,FALSE)</f>
        <v>Cheshire West &amp; Chester</v>
      </c>
      <c r="AG90" s="15">
        <f t="shared" si="52"/>
        <v>100</v>
      </c>
      <c r="AH90" s="46">
        <f t="shared" si="40"/>
        <v>79</v>
      </c>
      <c r="AI90" s="5" t="str">
        <f>IF(L90="","",VLOOKUP($L90,classifications!$C:$J,8,FALSE))</f>
        <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60</v>
      </c>
    </row>
    <row r="91" spans="1:50">
      <c r="A91" s="55" t="str">
        <f>$D$1&amp;81</f>
        <v>UA81</v>
      </c>
      <c r="B91" s="56">
        <f>IF(ISERROR(VLOOKUP(A91,classifications!A:C,3,FALSE)),0,VLOOKUP(A91,classifications!A:C,3,FALSE))</f>
        <v>0</v>
      </c>
      <c r="C91" t="s">
        <v>55</v>
      </c>
      <c r="D91" t="str">
        <f>VLOOKUP($C91,classifications!$C:$J,4,FALSE)</f>
        <v>SD</v>
      </c>
      <c r="E91">
        <f>VLOOKUP(C91,classifications!C:K,9,FALSE)</f>
        <v>0</v>
      </c>
      <c r="F91">
        <f t="shared" si="43"/>
        <v>100</v>
      </c>
      <c r="G91" s="15"/>
      <c r="H91" s="41" t="str">
        <f t="shared" si="44"/>
        <v/>
      </c>
      <c r="I91" s="73" t="str">
        <f>IF(H91="","",IF($I$8="A",(RANK(H91,H$11:H$333,1)+COUNTIF(H$11:H91,H91)-1),(RANK(H91,H$11:H$333)+COUNTIF(H$11:H91,H91)-1)))</f>
        <v/>
      </c>
      <c r="J91" s="40"/>
      <c r="K91" s="35" t="str">
        <f t="shared" si="51"/>
        <v/>
      </c>
      <c r="L91" t="str">
        <f t="shared" si="45"/>
        <v/>
      </c>
      <c r="M91" s="109" t="str">
        <f t="shared" si="46"/>
        <v/>
      </c>
      <c r="N91" s="104" t="str">
        <f t="shared" si="31"/>
        <v/>
      </c>
      <c r="O91" s="89" t="str">
        <f t="shared" si="32"/>
        <v/>
      </c>
      <c r="P91" s="89" t="str">
        <f t="shared" si="33"/>
        <v/>
      </c>
      <c r="Q91" s="89" t="str">
        <f t="shared" si="34"/>
        <v/>
      </c>
      <c r="R91" s="85" t="str">
        <f t="shared" si="35"/>
        <v/>
      </c>
      <c r="S91" s="41" t="str">
        <f t="shared" si="36"/>
        <v/>
      </c>
      <c r="T91" s="166" t="str">
        <f>IF(L91="","",VLOOKUP(L91,classifications!C:K,9,FALSE))</f>
        <v/>
      </c>
      <c r="U91" s="167" t="str">
        <f t="shared" si="37"/>
        <v/>
      </c>
      <c r="V91" s="173" t="str">
        <f>IF(U91="","",IF($I$8="A",(RANK(U91,U$11:U$333)+COUNTIF(U$11:U91,U91)-1),(RANK(U91,U$11:U$333,1)+COUNTIF(U$11:U91,U91)-1)))</f>
        <v/>
      </c>
      <c r="W91" s="174"/>
      <c r="X91" s="5" t="str">
        <f>IF(L91="","",VLOOKUP($L91,classifications!$C:$J,6,FALSE))</f>
        <v/>
      </c>
      <c r="Y91" t="str">
        <f t="shared" si="38"/>
        <v/>
      </c>
      <c r="Z91" s="39" t="str">
        <f>IF(Y91="","",IF(I$8="A",(RANK(Y91,Y$11:Y$333,1)+COUNTIF(Y$11:Y91,Y91)-1),(RANK(Y91,Y$11:Y$333)+COUNTIF(Y$11:Y91,Y91)-1)))</f>
        <v/>
      </c>
      <c r="AA91" s="177" t="str">
        <f>IF(L91="","",VLOOKUP($L91,classifications!C:I,7,FALSE))</f>
        <v/>
      </c>
      <c r="AB91" s="173" t="str">
        <f t="shared" si="39"/>
        <v/>
      </c>
      <c r="AC91" s="173" t="str">
        <f>IF(AB91="","",IF($I$8="A",(RANK(AB91,AB$11:AB$333)+COUNTIF(AB$11:AB91,AB91)-1),(RANK(AB91,AB$11:AB$333,1)+COUNTIF(AB$11:AB91,AB91)-1)))</f>
        <v/>
      </c>
      <c r="AD91" s="173"/>
      <c r="AE91" s="45">
        <f>IF(I$8="A",(RANK(AG91,AG$11:AG$333,1)+COUNTIF(AG$11:AG91,AG91)-1),(RANK(AG91,AG$11:AG$333)+COUNTIF(AG$11:AG91,AG91)-1))</f>
        <v>80</v>
      </c>
      <c r="AF91" t="str">
        <f>VLOOKUP(Profile!$J$5,Families!$C:$R,2,FALSE)</f>
        <v>Cheshire West &amp; Chester</v>
      </c>
      <c r="AG91" s="15">
        <f t="shared" si="52"/>
        <v>100</v>
      </c>
      <c r="AH91" s="46">
        <f t="shared" si="40"/>
        <v>80</v>
      </c>
      <c r="AI91" s="5" t="str">
        <f>IF(L91="","",VLOOKUP($L91,classifications!$C:$J,8,FALSE))</f>
        <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100</v>
      </c>
    </row>
    <row r="92" spans="1:50">
      <c r="A92" s="55" t="str">
        <f>$D$1&amp;82</f>
        <v>UA82</v>
      </c>
      <c r="B92" s="56">
        <f>IF(ISERROR(VLOOKUP(A92,classifications!A:C,3,FALSE)),0,VLOOKUP(A92,classifications!A:C,3,FALSE))</f>
        <v>0</v>
      </c>
      <c r="C92" t="s">
        <v>56</v>
      </c>
      <c r="D92" t="str">
        <f>VLOOKUP($C92,classifications!$C:$J,4,FALSE)</f>
        <v>SD</v>
      </c>
      <c r="E92">
        <f>VLOOKUP(C92,classifications!C:K,9,FALSE)</f>
        <v>0</v>
      </c>
      <c r="F92">
        <f t="shared" si="43"/>
        <v>80</v>
      </c>
      <c r="G92" s="15"/>
      <c r="H92" s="41" t="str">
        <f t="shared" si="44"/>
        <v/>
      </c>
      <c r="I92" s="73" t="str">
        <f>IF(H92="","",IF($I$8="A",(RANK(H92,H$11:H$333,1)+COUNTIF(H$11:H92,H92)-1),(RANK(H92,H$11:H$333)+COUNTIF(H$11:H92,H92)-1)))</f>
        <v/>
      </c>
      <c r="J92" s="40"/>
      <c r="K92" s="35" t="str">
        <f t="shared" si="51"/>
        <v/>
      </c>
      <c r="L92" t="str">
        <f t="shared" si="45"/>
        <v/>
      </c>
      <c r="M92" s="109" t="str">
        <f t="shared" si="46"/>
        <v/>
      </c>
      <c r="N92" s="104" t="str">
        <f t="shared" si="31"/>
        <v/>
      </c>
      <c r="O92" s="89" t="str">
        <f t="shared" si="32"/>
        <v/>
      </c>
      <c r="P92" s="89" t="str">
        <f t="shared" si="33"/>
        <v/>
      </c>
      <c r="Q92" s="89" t="str">
        <f t="shared" si="34"/>
        <v/>
      </c>
      <c r="R92" s="85" t="str">
        <f t="shared" si="35"/>
        <v/>
      </c>
      <c r="S92" s="41" t="str">
        <f t="shared" si="36"/>
        <v/>
      </c>
      <c r="T92" s="166" t="str">
        <f>IF(L92="","",VLOOKUP(L92,classifications!C:K,9,FALSE))</f>
        <v/>
      </c>
      <c r="U92" s="167" t="str">
        <f t="shared" si="37"/>
        <v/>
      </c>
      <c r="V92" s="173" t="str">
        <f>IF(U92="","",IF($I$8="A",(RANK(U92,U$11:U$333)+COUNTIF(U$11:U92,U92)-1),(RANK(U92,U$11:U$333,1)+COUNTIF(U$11:U92,U92)-1)))</f>
        <v/>
      </c>
      <c r="W92" s="174"/>
      <c r="X92" s="5" t="str">
        <f>IF(L92="","",VLOOKUP($L92,classifications!$C:$J,6,FALSE))</f>
        <v/>
      </c>
      <c r="Y92" t="str">
        <f t="shared" si="38"/>
        <v/>
      </c>
      <c r="Z92" s="39" t="str">
        <f>IF(Y92="","",IF(I$8="A",(RANK(Y92,Y$11:Y$333,1)+COUNTIF(Y$11:Y92,Y92)-1),(RANK(Y92,Y$11:Y$333)+COUNTIF(Y$11:Y92,Y92)-1)))</f>
        <v/>
      </c>
      <c r="AA92" s="177" t="str">
        <f>IF(L92="","",VLOOKUP($L92,classifications!C:I,7,FALSE))</f>
        <v/>
      </c>
      <c r="AB92" s="173" t="str">
        <f t="shared" si="39"/>
        <v/>
      </c>
      <c r="AC92" s="173" t="str">
        <f>IF(AB92="","",IF($I$8="A",(RANK(AB92,AB$11:AB$333)+COUNTIF(AB$11:AB92,AB92)-1),(RANK(AB92,AB$11:AB$333,1)+COUNTIF(AB$11:AB92,AB92)-1)))</f>
        <v/>
      </c>
      <c r="AD92" s="173"/>
      <c r="AE92" s="45">
        <f>IF(I$8="A",(RANK(AG92,AG$11:AG$333,1)+COUNTIF(AG$11:AG92,AG92)-1),(RANK(AG92,AG$11:AG$333)+COUNTIF(AG$11:AG92,AG92)-1))</f>
        <v>81</v>
      </c>
      <c r="AF92" t="str">
        <f>VLOOKUP(Profile!$J$5,Families!$C:$R,2,FALSE)</f>
        <v>Cheshire West &amp; Chester</v>
      </c>
      <c r="AG92" s="15">
        <f t="shared" si="52"/>
        <v>100</v>
      </c>
      <c r="AH92" s="46">
        <f t="shared" si="40"/>
        <v>81</v>
      </c>
      <c r="AI92" s="5" t="str">
        <f>IF(L92="","",VLOOKUP($L92,classifications!$C:$J,8,FALSE))</f>
        <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80</v>
      </c>
    </row>
    <row r="93" spans="1:50">
      <c r="A93" s="55" t="str">
        <f>$D$1&amp;83</f>
        <v>UA83</v>
      </c>
      <c r="B93" s="56">
        <f>IF(ISERROR(VLOOKUP(A93,classifications!A:C,3,FALSE)),0,VLOOKUP(A93,classifications!A:C,3,FALSE))</f>
        <v>0</v>
      </c>
      <c r="C93" t="s">
        <v>57</v>
      </c>
      <c r="D93" t="str">
        <f>VLOOKUP($C93,classifications!$C:$J,4,FALSE)</f>
        <v>SD</v>
      </c>
      <c r="E93" t="str">
        <f>VLOOKUP(C93,classifications!C:K,9,FALSE)</f>
        <v>Sparse</v>
      </c>
      <c r="F93">
        <f t="shared" si="43"/>
        <v>71.428571428571431</v>
      </c>
      <c r="G93" s="15"/>
      <c r="H93" s="41" t="str">
        <f t="shared" si="44"/>
        <v/>
      </c>
      <c r="I93" s="73" t="str">
        <f>IF(H93="","",IF($I$8="A",(RANK(H93,H$11:H$333,1)+COUNTIF(H$11:H93,H93)-1),(RANK(H93,H$11:H$333)+COUNTIF(H$11:H93,H93)-1)))</f>
        <v/>
      </c>
      <c r="J93" s="40"/>
      <c r="K93" s="35" t="str">
        <f t="shared" si="51"/>
        <v/>
      </c>
      <c r="L93" t="str">
        <f t="shared" si="45"/>
        <v/>
      </c>
      <c r="M93" s="109" t="str">
        <f t="shared" si="46"/>
        <v/>
      </c>
      <c r="N93" s="104" t="str">
        <f t="shared" si="31"/>
        <v/>
      </c>
      <c r="O93" s="89" t="str">
        <f t="shared" si="32"/>
        <v/>
      </c>
      <c r="P93" s="89" t="str">
        <f t="shared" si="33"/>
        <v/>
      </c>
      <c r="Q93" s="89" t="str">
        <f t="shared" si="34"/>
        <v/>
      </c>
      <c r="R93" s="85" t="str">
        <f t="shared" si="35"/>
        <v/>
      </c>
      <c r="S93" s="41" t="str">
        <f t="shared" si="36"/>
        <v/>
      </c>
      <c r="T93" s="166" t="str">
        <f>IF(L93="","",VLOOKUP(L93,classifications!C:K,9,FALSE))</f>
        <v/>
      </c>
      <c r="U93" s="167" t="str">
        <f t="shared" si="37"/>
        <v/>
      </c>
      <c r="V93" s="173" t="str">
        <f>IF(U93="","",IF($I$8="A",(RANK(U93,U$11:U$333)+COUNTIF(U$11:U93,U93)-1),(RANK(U93,U$11:U$333,1)+COUNTIF(U$11:U93,U93)-1)))</f>
        <v/>
      </c>
      <c r="W93" s="174"/>
      <c r="X93" s="5" t="str">
        <f>IF(L93="","",VLOOKUP($L93,classifications!$C:$J,6,FALSE))</f>
        <v/>
      </c>
      <c r="Y93" t="str">
        <f t="shared" si="38"/>
        <v/>
      </c>
      <c r="Z93" s="39" t="str">
        <f>IF(Y93="","",IF(I$8="A",(RANK(Y93,Y$11:Y$333,1)+COUNTIF(Y$11:Y93,Y93)-1),(RANK(Y93,Y$11:Y$333)+COUNTIF(Y$11:Y93,Y93)-1)))</f>
        <v/>
      </c>
      <c r="AA93" s="177" t="str">
        <f>IF(L93="","",VLOOKUP($L93,classifications!C:I,7,FALSE))</f>
        <v/>
      </c>
      <c r="AB93" s="173" t="str">
        <f t="shared" si="39"/>
        <v/>
      </c>
      <c r="AC93" s="173" t="str">
        <f>IF(AB93="","",IF($I$8="A",(RANK(AB93,AB$11:AB$333)+COUNTIF(AB$11:AB93,AB93)-1),(RANK(AB93,AB$11:AB$333,1)+COUNTIF(AB$11:AB93,AB93)-1)))</f>
        <v/>
      </c>
      <c r="AD93" s="173"/>
      <c r="AE93" s="45">
        <f>IF(I$8="A",(RANK(AG93,AG$11:AG$333,1)+COUNTIF(AG$11:AG93,AG93)-1),(RANK(AG93,AG$11:AG$333)+COUNTIF(AG$11:AG93,AG93)-1))</f>
        <v>82</v>
      </c>
      <c r="AF93" t="str">
        <f>VLOOKUP(Profile!$J$5,Families!$C:$R,2,FALSE)</f>
        <v>Cheshire West &amp; Chester</v>
      </c>
      <c r="AG93" s="15">
        <f t="shared" si="52"/>
        <v>100</v>
      </c>
      <c r="AH93" s="46">
        <f t="shared" si="40"/>
        <v>82</v>
      </c>
      <c r="AI93" s="5" t="str">
        <f>IF(L93="","",VLOOKUP($L93,classifications!$C:$J,8,FALSE))</f>
        <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71.428571428571431</v>
      </c>
    </row>
    <row r="94" spans="1:50">
      <c r="A94" s="55" t="str">
        <f>$D$1&amp;84</f>
        <v>UA84</v>
      </c>
      <c r="B94" s="56">
        <f>IF(ISERROR(VLOOKUP(A94,classifications!A:C,3,FALSE)),0,VLOOKUP(A94,classifications!A:C,3,FALSE))</f>
        <v>0</v>
      </c>
      <c r="C94" t="s">
        <v>267</v>
      </c>
      <c r="D94" t="str">
        <f>VLOOKUP($C94,classifications!$C:$J,4,FALSE)</f>
        <v>UA</v>
      </c>
      <c r="E94" t="str">
        <f>VLOOKUP(C94,classifications!C:K,9,FALSE)</f>
        <v>Sparse</v>
      </c>
      <c r="F94">
        <f t="shared" si="43"/>
        <v>89.285714285714292</v>
      </c>
      <c r="G94" s="15"/>
      <c r="H94" s="41">
        <f t="shared" si="44"/>
        <v>89.285714285714292</v>
      </c>
      <c r="I94" s="73">
        <f>IF(H94="","",IF($I$8="A",(RANK(H94,H$11:H$333,1)+COUNTIF(H$11:H94,H94)-1),(RANK(H94,H$11:H$333)+COUNTIF(H$11:H94,H94)-1)))</f>
        <v>36</v>
      </c>
      <c r="J94" s="40"/>
      <c r="K94" s="35" t="str">
        <f t="shared" si="51"/>
        <v/>
      </c>
      <c r="L94" t="str">
        <f t="shared" si="45"/>
        <v/>
      </c>
      <c r="M94" s="109" t="str">
        <f t="shared" si="46"/>
        <v/>
      </c>
      <c r="N94" s="104" t="str">
        <f t="shared" si="31"/>
        <v/>
      </c>
      <c r="O94" s="89" t="str">
        <f t="shared" si="32"/>
        <v/>
      </c>
      <c r="P94" s="89" t="str">
        <f t="shared" si="33"/>
        <v/>
      </c>
      <c r="Q94" s="89" t="str">
        <f t="shared" si="34"/>
        <v/>
      </c>
      <c r="R94" s="85" t="str">
        <f t="shared" si="35"/>
        <v/>
      </c>
      <c r="S94" s="41" t="str">
        <f t="shared" si="36"/>
        <v/>
      </c>
      <c r="T94" s="166" t="str">
        <f>IF(L94="","",VLOOKUP(L94,classifications!C:K,9,FALSE))</f>
        <v/>
      </c>
      <c r="U94" s="167" t="str">
        <f t="shared" si="37"/>
        <v/>
      </c>
      <c r="V94" s="173" t="str">
        <f>IF(U94="","",IF($I$8="A",(RANK(U94,U$11:U$333)+COUNTIF(U$11:U94,U94)-1),(RANK(U94,U$11:U$333,1)+COUNTIF(U$11:U94,U94)-1)))</f>
        <v/>
      </c>
      <c r="W94" s="174"/>
      <c r="X94" s="5" t="str">
        <f>IF(L94="","",VLOOKUP($L94,classifications!$C:$J,6,FALSE))</f>
        <v/>
      </c>
      <c r="Y94" t="str">
        <f t="shared" si="38"/>
        <v/>
      </c>
      <c r="Z94" s="39" t="str">
        <f>IF(Y94="","",IF(I$8="A",(RANK(Y94,Y$11:Y$333,1)+COUNTIF(Y$11:Y94,Y94)-1),(RANK(Y94,Y$11:Y$333)+COUNTIF(Y$11:Y94,Y94)-1)))</f>
        <v/>
      </c>
      <c r="AA94" s="177" t="str">
        <f>IF(L94="","",VLOOKUP($L94,classifications!C:I,7,FALSE))</f>
        <v/>
      </c>
      <c r="AB94" s="173" t="str">
        <f t="shared" si="39"/>
        <v/>
      </c>
      <c r="AC94" s="173" t="str">
        <f>IF(AB94="","",IF($I$8="A",(RANK(AB94,AB$11:AB$333)+COUNTIF(AB$11:AB94,AB94)-1),(RANK(AB94,AB$11:AB$333,1)+COUNTIF(AB$11:AB94,AB94)-1)))</f>
        <v/>
      </c>
      <c r="AD94" s="173"/>
      <c r="AE94" s="45">
        <f>IF(I$8="A",(RANK(AG94,AG$11:AG$333,1)+COUNTIF(AG$11:AG94,AG94)-1),(RANK(AG94,AG$11:AG$333)+COUNTIF(AG$11:AG94,AG94)-1))</f>
        <v>83</v>
      </c>
      <c r="AF94" t="str">
        <f>VLOOKUP(Profile!$J$5,Families!$C:$R,2,FALSE)</f>
        <v>Cheshire West &amp; Chester</v>
      </c>
      <c r="AG94" s="15">
        <f t="shared" si="52"/>
        <v>100</v>
      </c>
      <c r="AH94" s="46">
        <f t="shared" si="40"/>
        <v>83</v>
      </c>
      <c r="AI94" s="5" t="str">
        <f>IF(L94="","",VLOOKUP($L94,classifications!$C:$J,8,FALSE))</f>
        <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89.285714285714292</v>
      </c>
    </row>
    <row r="95" spans="1:50">
      <c r="A95" s="55" t="str">
        <f>$D$1&amp;85</f>
        <v>UA85</v>
      </c>
      <c r="B95" s="56">
        <f>IF(ISERROR(VLOOKUP(A95,classifications!A:C,3,FALSE)),0,VLOOKUP(A95,classifications!A:C,3,FALSE))</f>
        <v>0</v>
      </c>
      <c r="C95" t="s">
        <v>59</v>
      </c>
      <c r="D95" t="str">
        <f>VLOOKUP($C95,classifications!$C:$J,4,FALSE)</f>
        <v>SD</v>
      </c>
      <c r="E95">
        <f>VLOOKUP(C95,classifications!C:K,9,FALSE)</f>
        <v>0</v>
      </c>
      <c r="F95">
        <f t="shared" si="43"/>
        <v>71.428571428571431</v>
      </c>
      <c r="G95" s="15"/>
      <c r="H95" s="41" t="str">
        <f t="shared" si="44"/>
        <v/>
      </c>
      <c r="I95" s="73" t="str">
        <f>IF(H95="","",IF($I$8="A",(RANK(H95,H$11:H$333,1)+COUNTIF(H$11:H95,H95)-1),(RANK(H95,H$11:H$333)+COUNTIF(H$11:H95,H95)-1)))</f>
        <v/>
      </c>
      <c r="J95" s="40"/>
      <c r="K95" s="35" t="str">
        <f t="shared" si="51"/>
        <v/>
      </c>
      <c r="L95" t="str">
        <f t="shared" si="45"/>
        <v/>
      </c>
      <c r="M95" s="109" t="str">
        <f t="shared" si="46"/>
        <v/>
      </c>
      <c r="N95" s="104" t="str">
        <f t="shared" si="31"/>
        <v/>
      </c>
      <c r="O95" s="89" t="str">
        <f t="shared" si="32"/>
        <v/>
      </c>
      <c r="P95" s="89" t="str">
        <f t="shared" si="33"/>
        <v/>
      </c>
      <c r="Q95" s="89" t="str">
        <f t="shared" si="34"/>
        <v/>
      </c>
      <c r="R95" s="85" t="str">
        <f t="shared" si="35"/>
        <v/>
      </c>
      <c r="S95" s="41" t="str">
        <f t="shared" si="36"/>
        <v/>
      </c>
      <c r="T95" s="166" t="str">
        <f>IF(L95="","",VLOOKUP(L95,classifications!C:K,9,FALSE))</f>
        <v/>
      </c>
      <c r="U95" s="167" t="str">
        <f t="shared" si="37"/>
        <v/>
      </c>
      <c r="V95" s="173" t="str">
        <f>IF(U95="","",IF($I$8="A",(RANK(U95,U$11:U$333)+COUNTIF(U$11:U95,U95)-1),(RANK(U95,U$11:U$333,1)+COUNTIF(U$11:U95,U95)-1)))</f>
        <v/>
      </c>
      <c r="W95" s="174"/>
      <c r="X95" s="5" t="str">
        <f>IF(L95="","",VLOOKUP($L95,classifications!$C:$J,6,FALSE))</f>
        <v/>
      </c>
      <c r="Y95" t="str">
        <f t="shared" si="38"/>
        <v/>
      </c>
      <c r="Z95" s="39" t="str">
        <f>IF(Y95="","",IF(I$8="A",(RANK(Y95,Y$11:Y$333,1)+COUNTIF(Y$11:Y95,Y95)-1),(RANK(Y95,Y$11:Y$333)+COUNTIF(Y$11:Y95,Y95)-1)))</f>
        <v/>
      </c>
      <c r="AA95" s="177" t="str">
        <f>IF(L95="","",VLOOKUP($L95,classifications!C:I,7,FALSE))</f>
        <v/>
      </c>
      <c r="AB95" s="173" t="str">
        <f t="shared" si="39"/>
        <v/>
      </c>
      <c r="AC95" s="173" t="str">
        <f>IF(AB95="","",IF($I$8="A",(RANK(AB95,AB$11:AB$333)+COUNTIF(AB$11:AB95,AB95)-1),(RANK(AB95,AB$11:AB$333,1)+COUNTIF(AB$11:AB95,AB95)-1)))</f>
        <v/>
      </c>
      <c r="AD95" s="173"/>
      <c r="AE95" s="45">
        <f>IF(I$8="A",(RANK(AG95,AG$11:AG$333,1)+COUNTIF(AG$11:AG95,AG95)-1),(RANK(AG95,AG$11:AG$333)+COUNTIF(AG$11:AG95,AG95)-1))</f>
        <v>84</v>
      </c>
      <c r="AF95" t="str">
        <f>VLOOKUP(Profile!$J$5,Families!$C:$R,2,FALSE)</f>
        <v>Cheshire West &amp; Chester</v>
      </c>
      <c r="AG95" s="15">
        <f t="shared" si="52"/>
        <v>100</v>
      </c>
      <c r="AH95" s="46">
        <f t="shared" si="40"/>
        <v>84</v>
      </c>
      <c r="AI95" s="5" t="str">
        <f>IF(L95="","",VLOOKUP($L95,classifications!$C:$J,8,FALSE))</f>
        <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71.428571428571431</v>
      </c>
    </row>
    <row r="96" spans="1:50">
      <c r="A96" s="55" t="str">
        <f>$D$1&amp;86</f>
        <v>UA86</v>
      </c>
      <c r="B96" s="56">
        <f>IF(ISERROR(VLOOKUP(A96,classifications!A:C,3,FALSE)),0,VLOOKUP(A96,classifications!A:C,3,FALSE))</f>
        <v>0</v>
      </c>
      <c r="C96" t="s">
        <v>894</v>
      </c>
      <c r="D96" t="str">
        <f>VLOOKUP($C96,classifications!$C:$J,4,FALSE)</f>
        <v>SD</v>
      </c>
      <c r="E96" t="str">
        <f>VLOOKUP(C96,classifications!C:K,9,FALSE)</f>
        <v>Sparse</v>
      </c>
      <c r="F96">
        <f t="shared" si="43"/>
        <v>87.5</v>
      </c>
      <c r="G96" s="15"/>
      <c r="H96" s="41" t="str">
        <f t="shared" si="44"/>
        <v/>
      </c>
      <c r="I96" s="73" t="str">
        <f>IF(H96="","",IF($I$8="A",(RANK(H96,H$11:H$333,1)+COUNTIF(H$11:H96,H96)-1),(RANK(H96,H$11:H$333)+COUNTIF(H$11:H96,H96)-1)))</f>
        <v/>
      </c>
      <c r="J96" s="40"/>
      <c r="K96" s="35" t="str">
        <f t="shared" si="51"/>
        <v/>
      </c>
      <c r="L96" t="str">
        <f t="shared" si="45"/>
        <v/>
      </c>
      <c r="M96" s="109" t="str">
        <f t="shared" si="46"/>
        <v/>
      </c>
      <c r="N96" s="104" t="str">
        <f t="shared" si="31"/>
        <v/>
      </c>
      <c r="O96" s="89" t="str">
        <f t="shared" si="32"/>
        <v/>
      </c>
      <c r="P96" s="89" t="str">
        <f t="shared" si="33"/>
        <v/>
      </c>
      <c r="Q96" s="89" t="str">
        <f t="shared" si="34"/>
        <v/>
      </c>
      <c r="R96" s="85" t="str">
        <f t="shared" si="35"/>
        <v/>
      </c>
      <c r="S96" s="41" t="str">
        <f t="shared" si="36"/>
        <v/>
      </c>
      <c r="T96" s="166" t="str">
        <f>IF(L96="","",VLOOKUP(L96,classifications!C:K,9,FALSE))</f>
        <v/>
      </c>
      <c r="U96" s="167" t="str">
        <f t="shared" si="37"/>
        <v/>
      </c>
      <c r="V96" s="173" t="str">
        <f>IF(U96="","",IF($I$8="A",(RANK(U96,U$11:U$333)+COUNTIF(U$11:U96,U96)-1),(RANK(U96,U$11:U$333,1)+COUNTIF(U$11:U96,U96)-1)))</f>
        <v/>
      </c>
      <c r="W96" s="174"/>
      <c r="X96" s="5" t="str">
        <f>IF(L96="","",VLOOKUP($L96,classifications!$C:$J,6,FALSE))</f>
        <v/>
      </c>
      <c r="Y96" t="str">
        <f t="shared" si="38"/>
        <v/>
      </c>
      <c r="Z96" s="39" t="str">
        <f>IF(Y96="","",IF(I$8="A",(RANK(Y96,Y$11:Y$333,1)+COUNTIF(Y$11:Y96,Y96)-1),(RANK(Y96,Y$11:Y$333)+COUNTIF(Y$11:Y96,Y96)-1)))</f>
        <v/>
      </c>
      <c r="AA96" s="177" t="str">
        <f>IF(L96="","",VLOOKUP($L96,classifications!C:I,7,FALSE))</f>
        <v/>
      </c>
      <c r="AB96" s="173" t="str">
        <f t="shared" si="39"/>
        <v/>
      </c>
      <c r="AC96" s="173" t="str">
        <f>IF(AB96="","",IF($I$8="A",(RANK(AB96,AB$11:AB$333)+COUNTIF(AB$11:AB96,AB96)-1),(RANK(AB96,AB$11:AB$333,1)+COUNTIF(AB$11:AB96,AB96)-1)))</f>
        <v/>
      </c>
      <c r="AD96" s="173"/>
      <c r="AE96" s="45">
        <f>IF(I$8="A",(RANK(AG96,AG$11:AG$333,1)+COUNTIF(AG$11:AG96,AG96)-1),(RANK(AG96,AG$11:AG$333)+COUNTIF(AG$11:AG96,AG96)-1))</f>
        <v>85</v>
      </c>
      <c r="AF96" t="str">
        <f>VLOOKUP(Profile!$J$5,Families!$C:$R,2,FALSE)</f>
        <v>Cheshire West &amp; Chester</v>
      </c>
      <c r="AG96" s="15">
        <f t="shared" si="52"/>
        <v>100</v>
      </c>
      <c r="AH96" s="46">
        <f t="shared" si="40"/>
        <v>85</v>
      </c>
      <c r="AI96" s="5" t="str">
        <f>IF(L96="","",VLOOKUP($L96,classifications!$C:$J,8,FALSE))</f>
        <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87.5</v>
      </c>
    </row>
    <row r="97" spans="1:50">
      <c r="A97" s="55" t="str">
        <f>$D$1&amp;87</f>
        <v>UA87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t="str">
        <f t="shared" si="51"/>
        <v/>
      </c>
      <c r="L97" t="str">
        <f t="shared" si="45"/>
        <v/>
      </c>
      <c r="M97" s="109" t="str">
        <f t="shared" si="46"/>
        <v/>
      </c>
      <c r="N97" s="104" t="str">
        <f t="shared" si="31"/>
        <v/>
      </c>
      <c r="O97" s="89" t="str">
        <f t="shared" si="32"/>
        <v/>
      </c>
      <c r="P97" s="89" t="str">
        <f t="shared" si="33"/>
        <v/>
      </c>
      <c r="Q97" s="89" t="str">
        <f t="shared" si="34"/>
        <v/>
      </c>
      <c r="R97" s="85" t="str">
        <f t="shared" si="35"/>
        <v/>
      </c>
      <c r="S97" s="41" t="str">
        <f t="shared" si="36"/>
        <v/>
      </c>
      <c r="T97" s="166" t="str">
        <f>IF(L97="","",VLOOKUP(L97,classifications!C:K,9,FALSE))</f>
        <v/>
      </c>
      <c r="U97" s="167" t="str">
        <f t="shared" si="37"/>
        <v/>
      </c>
      <c r="V97" s="173" t="str">
        <f>IF(U97="","",IF($I$8="A",(RANK(U97,U$11:U$333)+COUNTIF(U$11:U97,U97)-1),(RANK(U97,U$11:U$333,1)+COUNTIF(U$11:U97,U97)-1)))</f>
        <v/>
      </c>
      <c r="W97" s="174"/>
      <c r="X97" s="5" t="str">
        <f>IF(L97="","",VLOOKUP($L97,classifications!$C:$J,6,FALSE))</f>
        <v/>
      </c>
      <c r="Y97" t="str">
        <f t="shared" si="38"/>
        <v/>
      </c>
      <c r="Z97" s="39" t="str">
        <f>IF(Y97="","",IF(I$8="A",(RANK(Y97,Y$11:Y$333,1)+COUNTIF(Y$11:Y97,Y97)-1),(RANK(Y97,Y$11:Y$333)+COUNTIF(Y$11:Y97,Y97)-1)))</f>
        <v/>
      </c>
      <c r="AA97" s="177" t="str">
        <f>IF(L97="","",VLOOKUP($L97,classifications!C:I,7,FALSE))</f>
        <v/>
      </c>
      <c r="AB97" s="173" t="str">
        <f t="shared" si="39"/>
        <v/>
      </c>
      <c r="AC97" s="173" t="str">
        <f>IF(AB97="","",IF($I$8="A",(RANK(AB97,AB$11:AB$333)+COUNTIF(AB$11:AB97,AB97)-1),(RANK(AB97,AB$11:AB$333,1)+COUNTIF(AB$11:AB97,AB97)-1)))</f>
        <v/>
      </c>
      <c r="AD97" s="173"/>
      <c r="AE97" s="45">
        <f>IF(I$8="A",(RANK(AG97,AG$11:AG$333,1)+COUNTIF(AG$11:AG97,AG97)-1),(RANK(AG97,AG$11:AG$333)+COUNTIF(AG$11:AG97,AG97)-1))</f>
        <v>86</v>
      </c>
      <c r="AF97" t="str">
        <f>VLOOKUP(Profile!$J$5,Families!$C:$R,2,FALSE)</f>
        <v>Cheshire West &amp; Chester</v>
      </c>
      <c r="AG97" s="15">
        <f t="shared" si="52"/>
        <v>100</v>
      </c>
      <c r="AH97" s="46">
        <f t="shared" si="40"/>
        <v>86</v>
      </c>
      <c r="AI97" s="5" t="str">
        <f>IF(L97="","",VLOOKUP($L97,classifications!$C:$J,8,FALSE))</f>
        <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UA88</v>
      </c>
      <c r="B98" s="56">
        <f>IF(ISERROR(VLOOKUP(A98,classifications!A:C,3,FALSE)),0,VLOOKUP(A98,classifications!A:C,3,FALSE))</f>
        <v>0</v>
      </c>
      <c r="C98" t="s">
        <v>60</v>
      </c>
      <c r="D98" t="str">
        <f>VLOOKUP($C98,classifications!$C:$J,4,FALSE)</f>
        <v>SD</v>
      </c>
      <c r="E98">
        <f>VLOOKUP(C98,classifications!C:K,9,FALSE)</f>
        <v>0</v>
      </c>
      <c r="F98">
        <f t="shared" si="43"/>
        <v>0</v>
      </c>
      <c r="G98" s="15"/>
      <c r="H98" s="41" t="str">
        <f t="shared" si="44"/>
        <v/>
      </c>
      <c r="I98" s="73" t="str">
        <f>IF(H98="","",IF($I$8="A",(RANK(H98,H$11:H$333,1)+COUNTIF(H$11:H98,H98)-1),(RANK(H98,H$11:H$333)+COUNTIF(H$11:H98,H98)-1)))</f>
        <v/>
      </c>
      <c r="J98" s="40"/>
      <c r="K98" s="35" t="str">
        <f t="shared" si="51"/>
        <v/>
      </c>
      <c r="L98" t="str">
        <f t="shared" si="45"/>
        <v/>
      </c>
      <c r="M98" s="109" t="str">
        <f t="shared" si="46"/>
        <v/>
      </c>
      <c r="N98" s="104" t="str">
        <f t="shared" si="31"/>
        <v/>
      </c>
      <c r="O98" s="89" t="str">
        <f t="shared" si="32"/>
        <v/>
      </c>
      <c r="P98" s="89" t="str">
        <f t="shared" si="33"/>
        <v/>
      </c>
      <c r="Q98" s="89" t="str">
        <f t="shared" si="34"/>
        <v/>
      </c>
      <c r="R98" s="85" t="str">
        <f t="shared" si="35"/>
        <v/>
      </c>
      <c r="S98" s="41" t="str">
        <f t="shared" si="36"/>
        <v/>
      </c>
      <c r="T98" s="166" t="str">
        <f>IF(L98="","",VLOOKUP(L98,classifications!C:K,9,FALSE))</f>
        <v/>
      </c>
      <c r="U98" s="167" t="str">
        <f t="shared" si="37"/>
        <v/>
      </c>
      <c r="V98" s="173" t="str">
        <f>IF(U98="","",IF($I$8="A",(RANK(U98,U$11:U$333)+COUNTIF(U$11:U98,U98)-1),(RANK(U98,U$11:U$333,1)+COUNTIF(U$11:U98,U98)-1)))</f>
        <v/>
      </c>
      <c r="W98" s="174"/>
      <c r="X98" s="5" t="str">
        <f>IF(L98="","",VLOOKUP($L98,classifications!$C:$J,6,FALSE))</f>
        <v/>
      </c>
      <c r="Y98" t="str">
        <f t="shared" si="38"/>
        <v/>
      </c>
      <c r="Z98" s="39" t="str">
        <f>IF(Y98="","",IF(I$8="A",(RANK(Y98,Y$11:Y$333,1)+COUNTIF(Y$11:Y98,Y98)-1),(RANK(Y98,Y$11:Y$333)+COUNTIF(Y$11:Y98,Y98)-1)))</f>
        <v/>
      </c>
      <c r="AA98" s="177" t="str">
        <f>IF(L98="","",VLOOKUP($L98,classifications!C:I,7,FALSE))</f>
        <v/>
      </c>
      <c r="AB98" s="173" t="str">
        <f t="shared" si="39"/>
        <v/>
      </c>
      <c r="AC98" s="173" t="str">
        <f>IF(AB98="","",IF($I$8="A",(RANK(AB98,AB$11:AB$333)+COUNTIF(AB$11:AB98,AB98)-1),(RANK(AB98,AB$11:AB$333,1)+COUNTIF(AB$11:AB98,AB98)-1)))</f>
        <v/>
      </c>
      <c r="AD98" s="173"/>
      <c r="AE98" s="45">
        <f>IF(I$8="A",(RANK(AG98,AG$11:AG$333,1)+COUNTIF(AG$11:AG98,AG98)-1),(RANK(AG98,AG$11:AG$333)+COUNTIF(AG$11:AG98,AG98)-1))</f>
        <v>87</v>
      </c>
      <c r="AF98" t="str">
        <f>VLOOKUP(Profile!$J$5,Families!$C:$R,2,FALSE)</f>
        <v>Cheshire West &amp; Chester</v>
      </c>
      <c r="AG98" s="15">
        <f t="shared" si="52"/>
        <v>100</v>
      </c>
      <c r="AH98" s="46">
        <f t="shared" si="40"/>
        <v>87</v>
      </c>
      <c r="AI98" s="5" t="str">
        <f>IF(L98="","",VLOOKUP($L98,classifications!$C:$J,8,FALSE))</f>
        <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0</v>
      </c>
    </row>
    <row r="99" spans="1:50">
      <c r="A99" s="55" t="str">
        <f>$D$1&amp;89</f>
        <v>UA89</v>
      </c>
      <c r="B99" s="56">
        <f>IF(ISERROR(VLOOKUP(A99,classifications!A:C,3,FALSE)),0,VLOOKUP(A99,classifications!A:C,3,FALSE))</f>
        <v>0</v>
      </c>
      <c r="C99" t="s">
        <v>61</v>
      </c>
      <c r="D99" t="str">
        <f>VLOOKUP($C99,classifications!$C:$J,4,FALSE)</f>
        <v>SD</v>
      </c>
      <c r="E99">
        <f>VLOOKUP(C99,classifications!C:K,9,FALSE)</f>
        <v>0</v>
      </c>
      <c r="F99">
        <f t="shared" si="43"/>
        <v>100</v>
      </c>
      <c r="G99" s="15"/>
      <c r="H99" s="41" t="str">
        <f t="shared" si="44"/>
        <v/>
      </c>
      <c r="I99" s="73" t="str">
        <f>IF(H99="","",IF($I$8="A",(RANK(H99,H$11:H$333,1)+COUNTIF(H$11:H99,H99)-1),(RANK(H99,H$11:H$333)+COUNTIF(H$11:H99,H99)-1)))</f>
        <v/>
      </c>
      <c r="J99" s="40"/>
      <c r="K99" s="35" t="str">
        <f t="shared" si="51"/>
        <v/>
      </c>
      <c r="L99" t="str">
        <f t="shared" si="45"/>
        <v/>
      </c>
      <c r="M99" s="109" t="str">
        <f t="shared" si="46"/>
        <v/>
      </c>
      <c r="N99" s="104" t="str">
        <f t="shared" si="31"/>
        <v/>
      </c>
      <c r="O99" s="89" t="str">
        <f t="shared" si="32"/>
        <v/>
      </c>
      <c r="P99" s="89" t="str">
        <f t="shared" si="33"/>
        <v/>
      </c>
      <c r="Q99" s="89" t="str">
        <f t="shared" si="34"/>
        <v/>
      </c>
      <c r="R99" s="85" t="str">
        <f t="shared" si="35"/>
        <v/>
      </c>
      <c r="S99" s="41" t="str">
        <f t="shared" si="36"/>
        <v/>
      </c>
      <c r="T99" s="166" t="str">
        <f>IF(L99="","",VLOOKUP(L99,classifications!C:K,9,FALSE))</f>
        <v/>
      </c>
      <c r="U99" s="167" t="str">
        <f t="shared" si="37"/>
        <v/>
      </c>
      <c r="V99" s="173" t="str">
        <f>IF(U99="","",IF($I$8="A",(RANK(U99,U$11:U$333)+COUNTIF(U$11:U99,U99)-1),(RANK(U99,U$11:U$333,1)+COUNTIF(U$11:U99,U99)-1)))</f>
        <v/>
      </c>
      <c r="W99" s="174"/>
      <c r="X99" s="5" t="str">
        <f>IF(L99="","",VLOOKUP($L99,classifications!$C:$J,6,FALSE))</f>
        <v/>
      </c>
      <c r="Y99" t="str">
        <f t="shared" si="38"/>
        <v/>
      </c>
      <c r="Z99" s="39" t="str">
        <f>IF(Y99="","",IF(I$8="A",(RANK(Y99,Y$11:Y$333,1)+COUNTIF(Y$11:Y99,Y99)-1),(RANK(Y99,Y$11:Y$333)+COUNTIF(Y$11:Y99,Y99)-1)))</f>
        <v/>
      </c>
      <c r="AA99" s="177" t="str">
        <f>IF(L99="","",VLOOKUP($L99,classifications!C:I,7,FALSE))</f>
        <v/>
      </c>
      <c r="AB99" s="173" t="str">
        <f t="shared" si="39"/>
        <v/>
      </c>
      <c r="AC99" s="173" t="str">
        <f>IF(AB99="","",IF($I$8="A",(RANK(AB99,AB$11:AB$333)+COUNTIF(AB$11:AB99,AB99)-1),(RANK(AB99,AB$11:AB$333,1)+COUNTIF(AB$11:AB99,AB99)-1)))</f>
        <v/>
      </c>
      <c r="AD99" s="173"/>
      <c r="AE99" s="45">
        <f>IF(I$8="A",(RANK(AG99,AG$11:AG$333,1)+COUNTIF(AG$11:AG99,AG99)-1),(RANK(AG99,AG$11:AG$333)+COUNTIF(AG$11:AG99,AG99)-1))</f>
        <v>88</v>
      </c>
      <c r="AF99" t="str">
        <f>VLOOKUP(Profile!$J$5,Families!$C:$R,2,FALSE)</f>
        <v>Cheshire West &amp; Chester</v>
      </c>
      <c r="AG99" s="15">
        <f t="shared" si="52"/>
        <v>100</v>
      </c>
      <c r="AH99" s="46">
        <f t="shared" si="40"/>
        <v>88</v>
      </c>
      <c r="AI99" s="5" t="str">
        <f>IF(L99="","",VLOOKUP($L99,classifications!$C:$J,8,FALSE))</f>
        <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UA90</v>
      </c>
      <c r="B100" s="56">
        <f>IF(ISERROR(VLOOKUP(A100,classifications!A:C,3,FALSE)),0,VLOOKUP(A100,classifications!A:C,3,FALSE))</f>
        <v>0</v>
      </c>
      <c r="C100" t="s">
        <v>63</v>
      </c>
      <c r="D100" t="str">
        <f>VLOOKUP($C100,classifications!$C:$J,4,FALSE)</f>
        <v>SD</v>
      </c>
      <c r="E100">
        <f>VLOOKUP(C100,classifications!C:K,9,FALSE)</f>
        <v>0</v>
      </c>
      <c r="F100">
        <f t="shared" si="43"/>
        <v>100</v>
      </c>
      <c r="G100" s="15"/>
      <c r="H100" s="41" t="str">
        <f t="shared" si="44"/>
        <v/>
      </c>
      <c r="I100" s="73" t="str">
        <f>IF(H100="","",IF($I$8="A",(RANK(H100,H$11:H$333,1)+COUNTIF(H$11:H100,H100)-1),(RANK(H100,H$11:H$333)+COUNTIF(H$11:H100,H100)-1)))</f>
        <v/>
      </c>
      <c r="J100" s="40"/>
      <c r="K100" s="35" t="str">
        <f t="shared" si="51"/>
        <v/>
      </c>
      <c r="L100" t="str">
        <f t="shared" si="45"/>
        <v/>
      </c>
      <c r="M100" s="109" t="str">
        <f t="shared" si="46"/>
        <v/>
      </c>
      <c r="N100" s="104" t="str">
        <f t="shared" si="31"/>
        <v/>
      </c>
      <c r="O100" s="89" t="str">
        <f t="shared" si="32"/>
        <v/>
      </c>
      <c r="P100" s="89" t="str">
        <f t="shared" si="33"/>
        <v/>
      </c>
      <c r="Q100" s="89" t="str">
        <f t="shared" si="34"/>
        <v/>
      </c>
      <c r="R100" s="85" t="str">
        <f t="shared" si="35"/>
        <v/>
      </c>
      <c r="S100" s="41" t="str">
        <f t="shared" si="36"/>
        <v/>
      </c>
      <c r="T100" s="166" t="str">
        <f>IF(L100="","",VLOOKUP(L100,classifications!C:K,9,FALSE))</f>
        <v/>
      </c>
      <c r="U100" s="167" t="str">
        <f t="shared" si="37"/>
        <v/>
      </c>
      <c r="V100" s="173" t="str">
        <f>IF(U100="","",IF($I$8="A",(RANK(U100,U$11:U$333)+COUNTIF(U$11:U100,U100)-1),(RANK(U100,U$11:U$333,1)+COUNTIF(U$11:U100,U100)-1)))</f>
        <v/>
      </c>
      <c r="W100" s="174"/>
      <c r="X100" s="5" t="str">
        <f>IF(L100="","",VLOOKUP($L100,classifications!$C:$J,6,FALSE))</f>
        <v/>
      </c>
      <c r="Y100" t="str">
        <f t="shared" si="38"/>
        <v/>
      </c>
      <c r="Z100" s="39" t="str">
        <f>IF(Y100="","",IF(I$8="A",(RANK(Y100,Y$11:Y$333,1)+COUNTIF(Y$11:Y100,Y100)-1),(RANK(Y100,Y$11:Y$333)+COUNTIF(Y$11:Y100,Y100)-1)))</f>
        <v/>
      </c>
      <c r="AA100" s="177" t="str">
        <f>IF(L100="","",VLOOKUP($L100,classifications!C:I,7,FALSE))</f>
        <v/>
      </c>
      <c r="AB100" s="173" t="str">
        <f t="shared" si="39"/>
        <v/>
      </c>
      <c r="AC100" s="173" t="str">
        <f>IF(AB100="","",IF($I$8="A",(RANK(AB100,AB$11:AB$333)+COUNTIF(AB$11:AB100,AB100)-1),(RANK(AB100,AB$11:AB$333,1)+COUNTIF(AB$11:AB100,AB100)-1)))</f>
        <v/>
      </c>
      <c r="AD100" s="173"/>
      <c r="AE100" s="45">
        <f>IF(I$8="A",(RANK(AG100,AG$11:AG$333,1)+COUNTIF(AG$11:AG100,AG100)-1),(RANK(AG100,AG$11:AG$333)+COUNTIF(AG$11:AG100,AG100)-1))</f>
        <v>89</v>
      </c>
      <c r="AF100" t="str">
        <f>VLOOKUP(Profile!$J$5,Families!$C:$R,2,FALSE)</f>
        <v>Cheshire West &amp; Chester</v>
      </c>
      <c r="AG100" s="15">
        <f t="shared" si="52"/>
        <v>100</v>
      </c>
      <c r="AH100" s="46">
        <f t="shared" si="40"/>
        <v>89</v>
      </c>
      <c r="AI100" s="5" t="str">
        <f>IF(L100="","",VLOOKUP($L100,classifications!$C:$J,8,FALSE))</f>
        <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100</v>
      </c>
    </row>
    <row r="101" spans="1:50">
      <c r="A101" s="55" t="str">
        <f>$D$1&amp;91</f>
        <v>UA91</v>
      </c>
      <c r="B101" s="56">
        <f>IF(ISERROR(VLOOKUP(A101,classifications!A:C,3,FALSE)),0,VLOOKUP(A101,classifications!A:C,3,FALSE))</f>
        <v>0</v>
      </c>
      <c r="C101" t="s">
        <v>203</v>
      </c>
      <c r="D101" t="str">
        <f>VLOOKUP($C101,classifications!$C:$J,4,FALSE)</f>
        <v>L</v>
      </c>
      <c r="E101">
        <f>VLOOKUP(C101,classifications!C:K,9,FALSE)</f>
        <v>0</v>
      </c>
      <c r="F101">
        <f t="shared" si="43"/>
        <v>75</v>
      </c>
      <c r="G101" s="15"/>
      <c r="H101" s="41" t="str">
        <f t="shared" si="44"/>
        <v/>
      </c>
      <c r="I101" s="73" t="str">
        <f>IF(H101="","",IF($I$8="A",(RANK(H101,H$11:H$333,1)+COUNTIF(H$11:H101,H101)-1),(RANK(H101,H$11:H$333)+COUNTIF(H$11:H101,H101)-1)))</f>
        <v/>
      </c>
      <c r="J101" s="40"/>
      <c r="K101" s="35" t="str">
        <f t="shared" si="51"/>
        <v/>
      </c>
      <c r="L101" t="str">
        <f t="shared" si="45"/>
        <v/>
      </c>
      <c r="M101" s="109" t="str">
        <f t="shared" si="46"/>
        <v/>
      </c>
      <c r="N101" s="104" t="str">
        <f t="shared" si="31"/>
        <v/>
      </c>
      <c r="O101" s="89" t="str">
        <f t="shared" si="32"/>
        <v/>
      </c>
      <c r="P101" s="89" t="str">
        <f t="shared" si="33"/>
        <v/>
      </c>
      <c r="Q101" s="89" t="str">
        <f t="shared" si="34"/>
        <v/>
      </c>
      <c r="R101" s="85" t="str">
        <f t="shared" si="35"/>
        <v/>
      </c>
      <c r="S101" s="41" t="str">
        <f t="shared" si="36"/>
        <v/>
      </c>
      <c r="T101" s="166" t="str">
        <f>IF(L101="","",VLOOKUP(L101,classifications!C:K,9,FALSE))</f>
        <v/>
      </c>
      <c r="U101" s="167" t="str">
        <f t="shared" si="37"/>
        <v/>
      </c>
      <c r="V101" s="173" t="str">
        <f>IF(U101="","",IF($I$8="A",(RANK(U101,U$11:U$333)+COUNTIF(U$11:U101,U101)-1),(RANK(U101,U$11:U$333,1)+COUNTIF(U$11:U101,U101)-1)))</f>
        <v/>
      </c>
      <c r="W101" s="174"/>
      <c r="X101" s="5" t="str">
        <f>IF(L101="","",VLOOKUP($L101,classifications!$C:$J,6,FALSE))</f>
        <v/>
      </c>
      <c r="Y101" t="str">
        <f t="shared" si="38"/>
        <v/>
      </c>
      <c r="Z101" s="39" t="str">
        <f>IF(Y101="","",IF(I$8="A",(RANK(Y101,Y$11:Y$333,1)+COUNTIF(Y$11:Y101,Y101)-1),(RANK(Y101,Y$11:Y$333)+COUNTIF(Y$11:Y101,Y101)-1)))</f>
        <v/>
      </c>
      <c r="AA101" s="177" t="str">
        <f>IF(L101="","",VLOOKUP($L101,classifications!C:I,7,FALSE))</f>
        <v/>
      </c>
      <c r="AB101" s="173" t="str">
        <f t="shared" si="39"/>
        <v/>
      </c>
      <c r="AC101" s="173" t="str">
        <f>IF(AB101="","",IF($I$8="A",(RANK(AB101,AB$11:AB$333)+COUNTIF(AB$11:AB101,AB101)-1),(RANK(AB101,AB$11:AB$333,1)+COUNTIF(AB$11:AB101,AB101)-1)))</f>
        <v/>
      </c>
      <c r="AD101" s="173"/>
      <c r="AE101" s="45">
        <f>IF(I$8="A",(RANK(AG101,AG$11:AG$333,1)+COUNTIF(AG$11:AG101,AG101)-1),(RANK(AG101,AG$11:AG$333)+COUNTIF(AG$11:AG101,AG101)-1))</f>
        <v>90</v>
      </c>
      <c r="AF101" t="str">
        <f>VLOOKUP(Profile!$J$5,Families!$C:$R,2,FALSE)</f>
        <v>Cheshire West &amp; Chester</v>
      </c>
      <c r="AG101" s="15">
        <f t="shared" si="52"/>
        <v>100</v>
      </c>
      <c r="AH101" s="46">
        <f t="shared" si="40"/>
        <v>90</v>
      </c>
      <c r="AI101" s="5" t="str">
        <f>IF(L101="","",VLOOKUP($L101,classifications!$C:$J,8,FALSE))</f>
        <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75</v>
      </c>
    </row>
    <row r="102" spans="1:50">
      <c r="A102" s="55" t="str">
        <f>$D$1&amp;92</f>
        <v>UA92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t="str">
        <f t="shared" si="44"/>
        <v/>
      </c>
      <c r="I102" s="73" t="str">
        <f>IF(H102="","",IF($I$8="A",(RANK(H102,H$11:H$333,1)+COUNTIF(H$11:H102,H102)-1),(RANK(H102,H$11:H$333)+COUNTIF(H$11:H102,H102)-1)))</f>
        <v/>
      </c>
      <c r="J102" s="40"/>
      <c r="K102" s="35" t="str">
        <f t="shared" si="51"/>
        <v/>
      </c>
      <c r="L102" t="str">
        <f t="shared" si="45"/>
        <v/>
      </c>
      <c r="M102" s="109" t="str">
        <f t="shared" si="46"/>
        <v/>
      </c>
      <c r="N102" s="104" t="str">
        <f t="shared" si="31"/>
        <v/>
      </c>
      <c r="O102" s="89" t="str">
        <f t="shared" si="32"/>
        <v/>
      </c>
      <c r="P102" s="89" t="str">
        <f t="shared" si="33"/>
        <v/>
      </c>
      <c r="Q102" s="89" t="str">
        <f t="shared" si="34"/>
        <v/>
      </c>
      <c r="R102" s="85" t="str">
        <f t="shared" si="35"/>
        <v/>
      </c>
      <c r="S102" s="41" t="str">
        <f t="shared" si="36"/>
        <v/>
      </c>
      <c r="T102" s="166" t="str">
        <f>IF(L102="","",VLOOKUP(L102,classifications!C:K,9,FALSE))</f>
        <v/>
      </c>
      <c r="U102" s="167" t="str">
        <f t="shared" si="37"/>
        <v/>
      </c>
      <c r="V102" s="173" t="str">
        <f>IF(U102="","",IF($I$8="A",(RANK(U102,U$11:U$333)+COUNTIF(U$11:U102,U102)-1),(RANK(U102,U$11:U$333,1)+COUNTIF(U$11:U102,U102)-1)))</f>
        <v/>
      </c>
      <c r="W102" s="174"/>
      <c r="X102" s="5" t="str">
        <f>IF(L102="","",VLOOKUP($L102,classifications!$C:$J,6,FALSE))</f>
        <v/>
      </c>
      <c r="Y102" t="str">
        <f t="shared" si="38"/>
        <v/>
      </c>
      <c r="Z102" s="39" t="str">
        <f>IF(Y102="","",IF(I$8="A",(RANK(Y102,Y$11:Y$333,1)+COUNTIF(Y$11:Y102,Y102)-1),(RANK(Y102,Y$11:Y$333)+COUNTIF(Y$11:Y102,Y102)-1)))</f>
        <v/>
      </c>
      <c r="AA102" s="177" t="str">
        <f>IF(L102="","",VLOOKUP($L102,classifications!C:I,7,FALSE))</f>
        <v/>
      </c>
      <c r="AB102" s="173" t="str">
        <f t="shared" si="39"/>
        <v/>
      </c>
      <c r="AC102" s="173" t="str">
        <f>IF(AB102="","",IF($I$8="A",(RANK(AB102,AB$11:AB$333)+COUNTIF(AB$11:AB102,AB102)-1),(RANK(AB102,AB$11:AB$333,1)+COUNTIF(AB$11:AB102,AB102)-1)))</f>
        <v/>
      </c>
      <c r="AD102" s="173"/>
      <c r="AE102" s="45">
        <f>IF(I$8="A",(RANK(AG102,AG$11:AG$333,1)+COUNTIF(AG$11:AG102,AG102)-1),(RANK(AG102,AG$11:AG$333)+COUNTIF(AG$11:AG102,AG102)-1))</f>
        <v>91</v>
      </c>
      <c r="AF102" t="str">
        <f>VLOOKUP(Profile!$J$5,Families!$C:$R,2,FALSE)</f>
        <v>Cheshire West &amp; Chester</v>
      </c>
      <c r="AG102" s="15">
        <f t="shared" si="52"/>
        <v>100</v>
      </c>
      <c r="AH102" s="46">
        <f t="shared" si="40"/>
        <v>91</v>
      </c>
      <c r="AI102" s="5" t="str">
        <f>IF(L102="","",VLOOKUP($L102,classifications!$C:$J,8,FALSE))</f>
        <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UA93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t="str">
        <f t="shared" si="44"/>
        <v/>
      </c>
      <c r="I103" s="73" t="str">
        <f>IF(H103="","",IF($I$8="A",(RANK(H103,H$11:H$333,1)+COUNTIF(H$11:H103,H103)-1),(RANK(H103,H$11:H$333)+COUNTIF(H$11:H103,H103)-1)))</f>
        <v/>
      </c>
      <c r="J103" s="40"/>
      <c r="K103" s="35" t="str">
        <f t="shared" si="51"/>
        <v/>
      </c>
      <c r="L103" t="str">
        <f t="shared" si="45"/>
        <v/>
      </c>
      <c r="M103" s="109" t="str">
        <f t="shared" si="46"/>
        <v/>
      </c>
      <c r="N103" s="104" t="str">
        <f t="shared" si="31"/>
        <v/>
      </c>
      <c r="O103" s="89" t="str">
        <f t="shared" si="32"/>
        <v/>
      </c>
      <c r="P103" s="89" t="str">
        <f t="shared" si="33"/>
        <v/>
      </c>
      <c r="Q103" s="89" t="str">
        <f t="shared" si="34"/>
        <v/>
      </c>
      <c r="R103" s="85" t="str">
        <f t="shared" si="35"/>
        <v/>
      </c>
      <c r="S103" s="41" t="str">
        <f t="shared" si="36"/>
        <v/>
      </c>
      <c r="T103" s="166" t="str">
        <f>IF(L103="","",VLOOKUP(L103,classifications!C:K,9,FALSE))</f>
        <v/>
      </c>
      <c r="U103" s="167" t="str">
        <f t="shared" si="37"/>
        <v/>
      </c>
      <c r="V103" s="173" t="str">
        <f>IF(U103="","",IF($I$8="A",(RANK(U103,U$11:U$333)+COUNTIF(U$11:U103,U103)-1),(RANK(U103,U$11:U$333,1)+COUNTIF(U$11:U103,U103)-1)))</f>
        <v/>
      </c>
      <c r="W103" s="174"/>
      <c r="X103" s="5" t="str">
        <f>IF(L103="","",VLOOKUP($L103,classifications!$C:$J,6,FALSE))</f>
        <v/>
      </c>
      <c r="Y103" t="str">
        <f t="shared" si="38"/>
        <v/>
      </c>
      <c r="Z103" s="39" t="str">
        <f>IF(Y103="","",IF(I$8="A",(RANK(Y103,Y$11:Y$333,1)+COUNTIF(Y$11:Y103,Y103)-1),(RANK(Y103,Y$11:Y$333)+COUNTIF(Y$11:Y103,Y103)-1)))</f>
        <v/>
      </c>
      <c r="AA103" s="177" t="str">
        <f>IF(L103="","",VLOOKUP($L103,classifications!C:I,7,FALSE))</f>
        <v/>
      </c>
      <c r="AB103" s="173" t="str">
        <f t="shared" si="39"/>
        <v/>
      </c>
      <c r="AC103" s="173" t="str">
        <f>IF(AB103="","",IF($I$8="A",(RANK(AB103,AB$11:AB$333)+COUNTIF(AB$11:AB103,AB103)-1),(RANK(AB103,AB$11:AB$333,1)+COUNTIF(AB$11:AB103,AB103)-1)))</f>
        <v/>
      </c>
      <c r="AD103" s="173"/>
      <c r="AE103" s="45">
        <f>IF(I$8="A",(RANK(AG103,AG$11:AG$333,1)+COUNTIF(AG$11:AG103,AG103)-1),(RANK(AG103,AG$11:AG$333)+COUNTIF(AG$11:AG103,AG103)-1))</f>
        <v>92</v>
      </c>
      <c r="AF103" t="str">
        <f>VLOOKUP(Profile!$J$5,Families!$C:$R,2,FALSE)</f>
        <v>Cheshire West &amp; Chester</v>
      </c>
      <c r="AG103" s="15">
        <f t="shared" si="52"/>
        <v>100</v>
      </c>
      <c r="AH103" s="46">
        <f t="shared" si="40"/>
        <v>92</v>
      </c>
      <c r="AI103" s="5" t="str">
        <f>IF(L103="","",VLOOKUP($L103,classifications!$C:$J,8,FALSE))</f>
        <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UA94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t="str">
        <f t="shared" si="44"/>
        <v/>
      </c>
      <c r="I104" s="73" t="str">
        <f>IF(H104="","",IF($I$8="A",(RANK(H104,H$11:H$333,1)+COUNTIF(H$11:H104,H104)-1),(RANK(H104,H$11:H$333)+COUNTIF(H$11:H104,H104)-1)))</f>
        <v/>
      </c>
      <c r="J104" s="40"/>
      <c r="K104" s="35" t="str">
        <f t="shared" si="51"/>
        <v/>
      </c>
      <c r="L104" t="str">
        <f t="shared" si="45"/>
        <v/>
      </c>
      <c r="M104" s="109" t="str">
        <f t="shared" si="46"/>
        <v/>
      </c>
      <c r="N104" s="104" t="str">
        <f t="shared" si="31"/>
        <v/>
      </c>
      <c r="O104" s="89" t="str">
        <f t="shared" si="32"/>
        <v/>
      </c>
      <c r="P104" s="89" t="str">
        <f t="shared" si="33"/>
        <v/>
      </c>
      <c r="Q104" s="89" t="str">
        <f t="shared" si="34"/>
        <v/>
      </c>
      <c r="R104" s="85" t="str">
        <f t="shared" si="35"/>
        <v/>
      </c>
      <c r="S104" s="41" t="str">
        <f t="shared" si="36"/>
        <v/>
      </c>
      <c r="T104" s="166" t="str">
        <f>IF(L104="","",VLOOKUP(L104,classifications!C:K,9,FALSE))</f>
        <v/>
      </c>
      <c r="U104" s="167" t="str">
        <f t="shared" si="37"/>
        <v/>
      </c>
      <c r="V104" s="173" t="str">
        <f>IF(U104="","",IF($I$8="A",(RANK(U104,U$11:U$333)+COUNTIF(U$11:U104,U104)-1),(RANK(U104,U$11:U$333,1)+COUNTIF(U$11:U104,U104)-1)))</f>
        <v/>
      </c>
      <c r="W104" s="174"/>
      <c r="X104" s="5" t="str">
        <f>IF(L104="","",VLOOKUP($L104,classifications!$C:$J,6,FALSE))</f>
        <v/>
      </c>
      <c r="Y104" t="str">
        <f t="shared" si="38"/>
        <v/>
      </c>
      <c r="Z104" s="39" t="str">
        <f>IF(Y104="","",IF(I$8="A",(RANK(Y104,Y$11:Y$333,1)+COUNTIF(Y$11:Y104,Y104)-1),(RANK(Y104,Y$11:Y$333)+COUNTIF(Y$11:Y104,Y104)-1)))</f>
        <v/>
      </c>
      <c r="AA104" s="177" t="str">
        <f>IF(L104="","",VLOOKUP($L104,classifications!C:I,7,FALSE))</f>
        <v/>
      </c>
      <c r="AB104" s="173" t="str">
        <f t="shared" si="39"/>
        <v/>
      </c>
      <c r="AC104" s="173" t="str">
        <f>IF(AB104="","",IF($I$8="A",(RANK(AB104,AB$11:AB$333)+COUNTIF(AB$11:AB104,AB104)-1),(RANK(AB104,AB$11:AB$333,1)+COUNTIF(AB$11:AB104,AB104)-1)))</f>
        <v/>
      </c>
      <c r="AD104" s="173"/>
      <c r="AE104" s="45">
        <f>IF(I$8="A",(RANK(AG104,AG$11:AG$333,1)+COUNTIF(AG$11:AG104,AG104)-1),(RANK(AG104,AG$11:AG$333)+COUNTIF(AG$11:AG104,AG104)-1))</f>
        <v>93</v>
      </c>
      <c r="AF104" t="str">
        <f>VLOOKUP(Profile!$J$5,Families!$C:$R,2,FALSE)</f>
        <v>Cheshire West &amp; Chester</v>
      </c>
      <c r="AG104" s="15">
        <f t="shared" si="52"/>
        <v>100</v>
      </c>
      <c r="AH104" s="46">
        <f t="shared" si="40"/>
        <v>93</v>
      </c>
      <c r="AI104" s="5" t="str">
        <f>IF(L104="","",VLOOKUP($L104,classifications!$C:$J,8,FALSE))</f>
        <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
      </c>
      <c r="AQ104" s="42" t="str">
        <f t="shared" si="42"/>
        <v/>
      </c>
      <c r="AR104" s="39" t="str">
        <f>IF(AQ104="","",IF(I$8="A",(RANK(AQ104,AQ$11:AQ$333,1)+COUNTIF(AQ$11:AQ104,AQ104)-1),(RANK(AQ104,AQ$11:AQ$333)+COUNTIF(AQ$11:AQ104,AQ104)-1)))</f>
        <v/>
      </c>
      <c r="AS104" s="3" t="str">
        <f t="shared" si="54"/>
        <v/>
      </c>
      <c r="AT104" s="39" t="str">
        <f t="shared" si="49"/>
        <v/>
      </c>
      <c r="AU104" s="42" t="str">
        <f t="shared" si="50"/>
        <v/>
      </c>
      <c r="AX104">
        <f>HLOOKUP($AX$9&amp;$AX$10,Data!$A$1:$ZT$1975,(MATCH($C104,Data!$A$1:$A$1975,0)),FALSE)</f>
        <v>100</v>
      </c>
    </row>
    <row r="105" spans="1:50">
      <c r="A105" s="55" t="str">
        <f>$D$1&amp;95</f>
        <v>UA95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t="str">
        <f t="shared" si="51"/>
        <v/>
      </c>
      <c r="L105" t="str">
        <f t="shared" si="45"/>
        <v/>
      </c>
      <c r="M105" s="109" t="str">
        <f t="shared" si="46"/>
        <v/>
      </c>
      <c r="N105" s="104" t="str">
        <f t="shared" si="31"/>
        <v/>
      </c>
      <c r="O105" s="89" t="str">
        <f t="shared" si="32"/>
        <v/>
      </c>
      <c r="P105" s="89" t="str">
        <f t="shared" si="33"/>
        <v/>
      </c>
      <c r="Q105" s="89" t="str">
        <f t="shared" si="34"/>
        <v/>
      </c>
      <c r="R105" s="85" t="str">
        <f t="shared" si="35"/>
        <v/>
      </c>
      <c r="S105" s="41" t="str">
        <f t="shared" si="36"/>
        <v/>
      </c>
      <c r="T105" s="166" t="str">
        <f>IF(L105="","",VLOOKUP(L105,classifications!C:K,9,FALSE))</f>
        <v/>
      </c>
      <c r="U105" s="167" t="str">
        <f t="shared" si="37"/>
        <v/>
      </c>
      <c r="V105" s="173" t="str">
        <f>IF(U105="","",IF($I$8="A",(RANK(U105,U$11:U$333)+COUNTIF(U$11:U105,U105)-1),(RANK(U105,U$11:U$333,1)+COUNTIF(U$11:U105,U105)-1)))</f>
        <v/>
      </c>
      <c r="W105" s="174"/>
      <c r="X105" s="5" t="str">
        <f>IF(L105="","",VLOOKUP($L105,classifications!$C:$J,6,FALSE))</f>
        <v/>
      </c>
      <c r="Y105" t="str">
        <f t="shared" si="38"/>
        <v/>
      </c>
      <c r="Z105" s="39" t="str">
        <f>IF(Y105="","",IF(I$8="A",(RANK(Y105,Y$11:Y$333,1)+COUNTIF(Y$11:Y105,Y105)-1),(RANK(Y105,Y$11:Y$333)+COUNTIF(Y$11:Y105,Y105)-1)))</f>
        <v/>
      </c>
      <c r="AA105" s="177" t="str">
        <f>IF(L105="","",VLOOKUP($L105,classifications!C:I,7,FALSE))</f>
        <v/>
      </c>
      <c r="AB105" s="173" t="str">
        <f t="shared" si="39"/>
        <v/>
      </c>
      <c r="AC105" s="173" t="str">
        <f>IF(AB105="","",IF($I$8="A",(RANK(AB105,AB$11:AB$333)+COUNTIF(AB$11:AB105,AB105)-1),(RANK(AB105,AB$11:AB$333,1)+COUNTIF(AB$11:AB105,AB105)-1)))</f>
        <v/>
      </c>
      <c r="AD105" s="173"/>
      <c r="AE105" s="45">
        <f>IF(I$8="A",(RANK(AG105,AG$11:AG$333,1)+COUNTIF(AG$11:AG105,AG105)-1),(RANK(AG105,AG$11:AG$333)+COUNTIF(AG$11:AG105,AG105)-1))</f>
        <v>94</v>
      </c>
      <c r="AF105" t="str">
        <f>VLOOKUP(Profile!$J$5,Families!$C:$R,2,FALSE)</f>
        <v>Cheshire West &amp; Chester</v>
      </c>
      <c r="AG105" s="15">
        <f t="shared" si="52"/>
        <v>100</v>
      </c>
      <c r="AH105" s="46">
        <f t="shared" si="40"/>
        <v>94</v>
      </c>
      <c r="AI105" s="5" t="str">
        <f>IF(L105="","",VLOOKUP($L105,classifications!$C:$J,8,FALSE))</f>
        <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UA96</v>
      </c>
      <c r="B106" s="56">
        <f>IF(ISERROR(VLOOKUP(A106,classifications!A:C,3,FALSE)),0,VLOOKUP(A106,classifications!A:C,3,FALSE))</f>
        <v>0</v>
      </c>
      <c r="C106" t="s">
        <v>66</v>
      </c>
      <c r="D106" t="str">
        <f>VLOOKUP($C106,classifications!$C:$J,4,FALSE)</f>
        <v>SD</v>
      </c>
      <c r="E106">
        <f>VLOOKUP(C106,classifications!C:K,9,FALSE)</f>
        <v>0</v>
      </c>
      <c r="F106">
        <f t="shared" si="43"/>
        <v>100</v>
      </c>
      <c r="G106" s="15"/>
      <c r="H106" s="41" t="str">
        <f t="shared" si="44"/>
        <v/>
      </c>
      <c r="I106" s="73" t="str">
        <f>IF(H106="","",IF($I$8="A",(RANK(H106,H$11:H$333,1)+COUNTIF(H$11:H106,H106)-1),(RANK(H106,H$11:H$333)+COUNTIF(H$11:H106,H106)-1)))</f>
        <v/>
      </c>
      <c r="J106" s="40"/>
      <c r="K106" s="35" t="str">
        <f t="shared" si="51"/>
        <v/>
      </c>
      <c r="L106" t="str">
        <f t="shared" si="45"/>
        <v/>
      </c>
      <c r="M106" s="109" t="str">
        <f t="shared" si="46"/>
        <v/>
      </c>
      <c r="N106" s="104" t="str">
        <f t="shared" si="31"/>
        <v/>
      </c>
      <c r="O106" s="89" t="str">
        <f t="shared" si="32"/>
        <v/>
      </c>
      <c r="P106" s="89" t="str">
        <f t="shared" si="33"/>
        <v/>
      </c>
      <c r="Q106" s="89" t="str">
        <f t="shared" si="34"/>
        <v/>
      </c>
      <c r="R106" s="85" t="str">
        <f t="shared" si="35"/>
        <v/>
      </c>
      <c r="S106" s="41" t="str">
        <f t="shared" si="36"/>
        <v/>
      </c>
      <c r="T106" s="166" t="str">
        <f>IF(L106="","",VLOOKUP(L106,classifications!C:K,9,FALSE))</f>
        <v/>
      </c>
      <c r="U106" s="167" t="str">
        <f t="shared" si="37"/>
        <v/>
      </c>
      <c r="V106" s="173" t="str">
        <f>IF(U106="","",IF($I$8="A",(RANK(U106,U$11:U$333)+COUNTIF(U$11:U106,U106)-1),(RANK(U106,U$11:U$333,1)+COUNTIF(U$11:U106,U106)-1)))</f>
        <v/>
      </c>
      <c r="W106" s="174"/>
      <c r="X106" s="5" t="str">
        <f>IF(L106="","",VLOOKUP($L106,classifications!$C:$J,6,FALSE))</f>
        <v/>
      </c>
      <c r="Y106" t="str">
        <f t="shared" si="38"/>
        <v/>
      </c>
      <c r="Z106" s="39" t="str">
        <f>IF(Y106="","",IF(I$8="A",(RANK(Y106,Y$11:Y$333,1)+COUNTIF(Y$11:Y106,Y106)-1),(RANK(Y106,Y$11:Y$333)+COUNTIF(Y$11:Y106,Y106)-1)))</f>
        <v/>
      </c>
      <c r="AA106" s="177" t="str">
        <f>IF(L106="","",VLOOKUP($L106,classifications!C:I,7,FALSE))</f>
        <v/>
      </c>
      <c r="AB106" s="173" t="str">
        <f t="shared" si="39"/>
        <v/>
      </c>
      <c r="AC106" s="173" t="str">
        <f>IF(AB106="","",IF($I$8="A",(RANK(AB106,AB$11:AB$333)+COUNTIF(AB$11:AB106,AB106)-1),(RANK(AB106,AB$11:AB$333,1)+COUNTIF(AB$11:AB106,AB106)-1)))</f>
        <v/>
      </c>
      <c r="AD106" s="173"/>
      <c r="AE106" s="45">
        <f>IF(I$8="A",(RANK(AG106,AG$11:AG$333,1)+COUNTIF(AG$11:AG106,AG106)-1),(RANK(AG106,AG$11:AG$333)+COUNTIF(AG$11:AG106,AG106)-1))</f>
        <v>95</v>
      </c>
      <c r="AF106" t="str">
        <f>VLOOKUP(Profile!$J$5,Families!$C:$R,2,FALSE)</f>
        <v>Cheshire West &amp; Chester</v>
      </c>
      <c r="AG106" s="15">
        <f t="shared" si="52"/>
        <v>100</v>
      </c>
      <c r="AH106" s="46">
        <f t="shared" si="40"/>
        <v>95</v>
      </c>
      <c r="AI106" s="5" t="str">
        <f>IF(L106="","",VLOOKUP($L106,classifications!$C:$J,8,FALSE))</f>
        <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100</v>
      </c>
    </row>
    <row r="107" spans="1:50">
      <c r="A107" s="55" t="str">
        <f>$D$1&amp;97</f>
        <v>UA97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t="str">
        <f t="shared" si="44"/>
        <v/>
      </c>
      <c r="I107" s="73" t="str">
        <f>IF(H107="","",IF($I$8="A",(RANK(H107,H$11:H$333,1)+COUNTIF(H$11:H107,H107)-1),(RANK(H107,H$11:H$333)+COUNTIF(H$11:H107,H107)-1)))</f>
        <v/>
      </c>
      <c r="J107" s="40"/>
      <c r="K107" s="35" t="str">
        <f t="shared" si="51"/>
        <v/>
      </c>
      <c r="L107" t="str">
        <f t="shared" si="45"/>
        <v/>
      </c>
      <c r="M107" s="109" t="str">
        <f t="shared" si="46"/>
        <v/>
      </c>
      <c r="N107" s="104" t="str">
        <f t="shared" si="31"/>
        <v/>
      </c>
      <c r="O107" s="89" t="str">
        <f t="shared" si="32"/>
        <v/>
      </c>
      <c r="P107" s="89" t="str">
        <f t="shared" si="33"/>
        <v/>
      </c>
      <c r="Q107" s="89" t="str">
        <f t="shared" si="34"/>
        <v/>
      </c>
      <c r="R107" s="85" t="str">
        <f t="shared" si="35"/>
        <v/>
      </c>
      <c r="S107" s="41" t="str">
        <f t="shared" si="36"/>
        <v/>
      </c>
      <c r="T107" s="166" t="str">
        <f>IF(L107="","",VLOOKUP(L107,classifications!C:K,9,FALSE))</f>
        <v/>
      </c>
      <c r="U107" s="167" t="str">
        <f t="shared" si="37"/>
        <v/>
      </c>
      <c r="V107" s="173" t="str">
        <f>IF(U107="","",IF($I$8="A",(RANK(U107,U$11:U$333)+COUNTIF(U$11:U107,U107)-1),(RANK(U107,U$11:U$333,1)+COUNTIF(U$11:U107,U107)-1)))</f>
        <v/>
      </c>
      <c r="W107" s="174"/>
      <c r="X107" s="5" t="str">
        <f>IF(L107="","",VLOOKUP($L107,classifications!$C:$J,6,FALSE))</f>
        <v/>
      </c>
      <c r="Y107" t="str">
        <f t="shared" si="38"/>
        <v/>
      </c>
      <c r="Z107" s="39" t="str">
        <f>IF(Y107="","",IF(I$8="A",(RANK(Y107,Y$11:Y$333,1)+COUNTIF(Y$11:Y107,Y107)-1),(RANK(Y107,Y$11:Y$333)+COUNTIF(Y$11:Y107,Y107)-1)))</f>
        <v/>
      </c>
      <c r="AA107" s="177" t="str">
        <f>IF(L107="","",VLOOKUP($L107,classifications!C:I,7,FALSE))</f>
        <v/>
      </c>
      <c r="AB107" s="173" t="str">
        <f t="shared" si="39"/>
        <v/>
      </c>
      <c r="AC107" s="173" t="str">
        <f>IF(AB107="","",IF($I$8="A",(RANK(AB107,AB$11:AB$333)+COUNTIF(AB$11:AB107,AB107)-1),(RANK(AB107,AB$11:AB$333,1)+COUNTIF(AB$11:AB107,AB107)-1)))</f>
        <v/>
      </c>
      <c r="AD107" s="173"/>
      <c r="AE107" s="45">
        <f>IF(I$8="A",(RANK(AG107,AG$11:AG$333,1)+COUNTIF(AG$11:AG107,AG107)-1),(RANK(AG107,AG$11:AG$333)+COUNTIF(AG$11:AG107,AG107)-1))</f>
        <v>96</v>
      </c>
      <c r="AF107" t="str">
        <f>VLOOKUP(Profile!$J$5,Families!$C:$R,2,FALSE)</f>
        <v>Cheshire West &amp; Chester</v>
      </c>
      <c r="AG107" s="15">
        <f t="shared" si="52"/>
        <v>100</v>
      </c>
      <c r="AH107" s="46">
        <f t="shared" si="40"/>
        <v>96</v>
      </c>
      <c r="AI107" s="5" t="str">
        <f>IF(L107="","",VLOOKUP($L107,classifications!$C:$J,8,FALSE))</f>
        <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UA98</v>
      </c>
      <c r="B108" s="56">
        <f>IF(ISERROR(VLOOKUP(A108,classifications!A:C,3,FALSE)),0,VLOOKUP(A108,classifications!A:C,3,FALSE))</f>
        <v>0</v>
      </c>
      <c r="C108" t="s">
        <v>68</v>
      </c>
      <c r="D108" t="str">
        <f>VLOOKUP($C108,classifications!$C:$J,4,FALSE)</f>
        <v>SD</v>
      </c>
      <c r="E108">
        <f>VLOOKUP(C108,classifications!C:K,9,FALSE)</f>
        <v>0</v>
      </c>
      <c r="F108">
        <f t="shared" si="43"/>
        <v>90.909090909090907</v>
      </c>
      <c r="G108" s="15"/>
      <c r="H108" s="41" t="str">
        <f t="shared" si="44"/>
        <v/>
      </c>
      <c r="I108" s="73" t="str">
        <f>IF(H108="","",IF($I$8="A",(RANK(H108,H$11:H$333,1)+COUNTIF(H$11:H108,H108)-1),(RANK(H108,H$11:H$333)+COUNTIF(H$11:H108,H108)-1)))</f>
        <v/>
      </c>
      <c r="J108" s="40"/>
      <c r="K108" s="35" t="str">
        <f t="shared" si="51"/>
        <v/>
      </c>
      <c r="L108" t="str">
        <f t="shared" si="45"/>
        <v/>
      </c>
      <c r="M108" s="109" t="str">
        <f t="shared" si="46"/>
        <v/>
      </c>
      <c r="N108" s="104" t="str">
        <f t="shared" si="31"/>
        <v/>
      </c>
      <c r="O108" s="89" t="str">
        <f t="shared" si="32"/>
        <v/>
      </c>
      <c r="P108" s="89" t="str">
        <f t="shared" si="33"/>
        <v/>
      </c>
      <c r="Q108" s="89" t="str">
        <f t="shared" si="34"/>
        <v/>
      </c>
      <c r="R108" s="85" t="str">
        <f t="shared" si="35"/>
        <v/>
      </c>
      <c r="S108" s="41" t="str">
        <f t="shared" si="36"/>
        <v/>
      </c>
      <c r="T108" s="166" t="str">
        <f>IF(L108="","",VLOOKUP(L108,classifications!C:K,9,FALSE))</f>
        <v/>
      </c>
      <c r="U108" s="167" t="str">
        <f t="shared" si="37"/>
        <v/>
      </c>
      <c r="V108" s="173" t="str">
        <f>IF(U108="","",IF($I$8="A",(RANK(U108,U$11:U$333)+COUNTIF(U$11:U108,U108)-1),(RANK(U108,U$11:U$333,1)+COUNTIF(U$11:U108,U108)-1)))</f>
        <v/>
      </c>
      <c r="W108" s="174"/>
      <c r="X108" s="5" t="str">
        <f>IF(L108="","",VLOOKUP($L108,classifications!$C:$J,6,FALSE))</f>
        <v/>
      </c>
      <c r="Y108" t="str">
        <f t="shared" si="38"/>
        <v/>
      </c>
      <c r="Z108" s="39" t="str">
        <f>IF(Y108="","",IF(I$8="A",(RANK(Y108,Y$11:Y$333,1)+COUNTIF(Y$11:Y108,Y108)-1),(RANK(Y108,Y$11:Y$333)+COUNTIF(Y$11:Y108,Y108)-1)))</f>
        <v/>
      </c>
      <c r="AA108" s="177" t="str">
        <f>IF(L108="","",VLOOKUP($L108,classifications!C:I,7,FALSE))</f>
        <v/>
      </c>
      <c r="AB108" s="173" t="str">
        <f t="shared" si="39"/>
        <v/>
      </c>
      <c r="AC108" s="173" t="str">
        <f>IF(AB108="","",IF($I$8="A",(RANK(AB108,AB$11:AB$333)+COUNTIF(AB$11:AB108,AB108)-1),(RANK(AB108,AB$11:AB$333,1)+COUNTIF(AB$11:AB108,AB108)-1)))</f>
        <v/>
      </c>
      <c r="AD108" s="173"/>
      <c r="AE108" s="45">
        <f>IF(I$8="A",(RANK(AG108,AG$11:AG$333,1)+COUNTIF(AG$11:AG108,AG108)-1),(RANK(AG108,AG$11:AG$333)+COUNTIF(AG$11:AG108,AG108)-1))</f>
        <v>97</v>
      </c>
      <c r="AF108" t="str">
        <f>VLOOKUP(Profile!$J$5,Families!$C:$R,2,FALSE)</f>
        <v>Cheshire West &amp; Chester</v>
      </c>
      <c r="AG108" s="15">
        <f t="shared" si="52"/>
        <v>100</v>
      </c>
      <c r="AH108" s="46">
        <f t="shared" si="40"/>
        <v>97</v>
      </c>
      <c r="AI108" s="5" t="str">
        <f>IF(L108="","",VLOOKUP($L108,classifications!$C:$J,8,FALSE))</f>
        <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90.909090909090907</v>
      </c>
    </row>
    <row r="109" spans="1:50">
      <c r="A109" s="55" t="str">
        <f>$D$1&amp;99</f>
        <v>UA99</v>
      </c>
      <c r="B109" s="56">
        <f>IF(ISERROR(VLOOKUP(A109,classifications!A:C,3,FALSE)),0,VLOOKUP(A109,classifications!A:C,3,FALSE))</f>
        <v>0</v>
      </c>
      <c r="C109" t="s">
        <v>890</v>
      </c>
      <c r="D109" t="str">
        <f>VLOOKUP($C109,classifications!$C:$J,4,FALSE)</f>
        <v>SD</v>
      </c>
      <c r="E109">
        <f>VLOOKUP(C109,classifications!C:K,9,FALSE)</f>
        <v>0</v>
      </c>
      <c r="F109">
        <f t="shared" si="43"/>
        <v>100</v>
      </c>
      <c r="G109" s="15"/>
      <c r="H109" s="41" t="str">
        <f t="shared" si="44"/>
        <v/>
      </c>
      <c r="I109" s="73" t="str">
        <f>IF(H109="","",IF($I$8="A",(RANK(H109,H$11:H$333,1)+COUNTIF(H$11:H109,H109)-1),(RANK(H109,H$11:H$333)+COUNTIF(H$11:H109,H109)-1)))</f>
        <v/>
      </c>
      <c r="J109" s="40"/>
      <c r="K109" s="35" t="str">
        <f t="shared" si="51"/>
        <v/>
      </c>
      <c r="L109" t="str">
        <f t="shared" si="45"/>
        <v/>
      </c>
      <c r="M109" s="109" t="str">
        <f t="shared" si="46"/>
        <v/>
      </c>
      <c r="N109" s="104" t="str">
        <f t="shared" si="31"/>
        <v/>
      </c>
      <c r="O109" s="89" t="str">
        <f t="shared" si="32"/>
        <v/>
      </c>
      <c r="P109" s="89" t="str">
        <f t="shared" si="33"/>
        <v/>
      </c>
      <c r="Q109" s="89" t="str">
        <f t="shared" si="34"/>
        <v/>
      </c>
      <c r="R109" s="85" t="str">
        <f t="shared" si="35"/>
        <v/>
      </c>
      <c r="S109" s="41" t="str">
        <f t="shared" si="36"/>
        <v/>
      </c>
      <c r="T109" s="166" t="str">
        <f>IF(L109="","",VLOOKUP(L109,classifications!C:K,9,FALSE))</f>
        <v/>
      </c>
      <c r="U109" s="167" t="str">
        <f t="shared" si="37"/>
        <v/>
      </c>
      <c r="V109" s="173" t="str">
        <f>IF(U109="","",IF($I$8="A",(RANK(U109,U$11:U$333)+COUNTIF(U$11:U109,U109)-1),(RANK(U109,U$11:U$333,1)+COUNTIF(U$11:U109,U109)-1)))</f>
        <v/>
      </c>
      <c r="W109" s="174"/>
      <c r="X109" s="5" t="str">
        <f>IF(L109="","",VLOOKUP($L109,classifications!$C:$J,6,FALSE))</f>
        <v/>
      </c>
      <c r="Y109" t="str">
        <f t="shared" si="38"/>
        <v/>
      </c>
      <c r="Z109" s="39" t="str">
        <f>IF(Y109="","",IF(I$8="A",(RANK(Y109,Y$11:Y$333,1)+COUNTIF(Y$11:Y109,Y109)-1),(RANK(Y109,Y$11:Y$333)+COUNTIF(Y$11:Y109,Y109)-1)))</f>
        <v/>
      </c>
      <c r="AA109" s="177" t="str">
        <f>IF(L109="","",VLOOKUP($L109,classifications!C:I,7,FALSE))</f>
        <v/>
      </c>
      <c r="AB109" s="173" t="str">
        <f t="shared" si="39"/>
        <v/>
      </c>
      <c r="AC109" s="173" t="str">
        <f>IF(AB109="","",IF($I$8="A",(RANK(AB109,AB$11:AB$333)+COUNTIF(AB$11:AB109,AB109)-1),(RANK(AB109,AB$11:AB$333,1)+COUNTIF(AB$11:AB109,AB109)-1)))</f>
        <v/>
      </c>
      <c r="AD109" s="173"/>
      <c r="AE109" s="45">
        <f>IF(I$8="A",(RANK(AG109,AG$11:AG$333,1)+COUNTIF(AG$11:AG109,AG109)-1),(RANK(AG109,AG$11:AG$333)+COUNTIF(AG$11:AG109,AG109)-1))</f>
        <v>98</v>
      </c>
      <c r="AF109" t="str">
        <f>VLOOKUP(Profile!$J$5,Families!$C:$R,2,FALSE)</f>
        <v>Cheshire West &amp; Chester</v>
      </c>
      <c r="AG109" s="15">
        <f t="shared" si="52"/>
        <v>100</v>
      </c>
      <c r="AH109" s="46">
        <f t="shared" si="40"/>
        <v>98</v>
      </c>
      <c r="AI109" s="5" t="str">
        <f>IF(L109="","",VLOOKUP($L109,classifications!$C:$J,8,FALSE))</f>
        <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100</v>
      </c>
    </row>
    <row r="110" spans="1:50">
      <c r="A110" s="55" t="str">
        <f>$D$1&amp;100</f>
        <v>UA100</v>
      </c>
      <c r="B110" s="56">
        <f>IF(ISERROR(VLOOKUP(A110,classifications!A:C,3,FALSE)),0,VLOOKUP(A110,classifications!A:C,3,FALSE))</f>
        <v>0</v>
      </c>
      <c r="C110" t="s">
        <v>70</v>
      </c>
      <c r="D110" t="str">
        <f>VLOOKUP($C110,classifications!$C:$J,4,FALSE)</f>
        <v>SD</v>
      </c>
      <c r="E110" t="str">
        <f>VLOOKUP(C110,classifications!C:K,9,FALSE)</f>
        <v>Sparse</v>
      </c>
      <c r="F110">
        <f t="shared" si="43"/>
        <v>100</v>
      </c>
      <c r="G110" s="15"/>
      <c r="H110" s="41" t="str">
        <f t="shared" si="44"/>
        <v/>
      </c>
      <c r="I110" s="73" t="str">
        <f>IF(H110="","",IF($I$8="A",(RANK(H110,H$11:H$333,1)+COUNTIF(H$11:H110,H110)-1),(RANK(H110,H$11:H$333)+COUNTIF(H$11:H110,H110)-1)))</f>
        <v/>
      </c>
      <c r="J110" s="40"/>
      <c r="K110" s="35" t="str">
        <f t="shared" si="51"/>
        <v/>
      </c>
      <c r="L110" t="str">
        <f t="shared" si="45"/>
        <v/>
      </c>
      <c r="M110" s="109" t="str">
        <f t="shared" si="46"/>
        <v/>
      </c>
      <c r="N110" s="104" t="str">
        <f t="shared" si="31"/>
        <v/>
      </c>
      <c r="O110" s="89" t="str">
        <f t="shared" si="32"/>
        <v/>
      </c>
      <c r="P110" s="89" t="str">
        <f t="shared" si="33"/>
        <v/>
      </c>
      <c r="Q110" s="89" t="str">
        <f t="shared" si="34"/>
        <v/>
      </c>
      <c r="R110" s="85" t="str">
        <f t="shared" si="35"/>
        <v/>
      </c>
      <c r="S110" s="41" t="str">
        <f t="shared" si="36"/>
        <v/>
      </c>
      <c r="T110" s="166" t="str">
        <f>IF(L110="","",VLOOKUP(L110,classifications!C:K,9,FALSE))</f>
        <v/>
      </c>
      <c r="U110" s="167" t="str">
        <f t="shared" si="37"/>
        <v/>
      </c>
      <c r="V110" s="173" t="str">
        <f>IF(U110="","",IF($I$8="A",(RANK(U110,U$11:U$333)+COUNTIF(U$11:U110,U110)-1),(RANK(U110,U$11:U$333,1)+COUNTIF(U$11:U110,U110)-1)))</f>
        <v/>
      </c>
      <c r="W110" s="174"/>
      <c r="X110" s="5" t="str">
        <f>IF(L110="","",VLOOKUP($L110,classifications!$C:$J,6,FALSE))</f>
        <v/>
      </c>
      <c r="Y110" t="str">
        <f t="shared" si="38"/>
        <v/>
      </c>
      <c r="Z110" s="39" t="str">
        <f>IF(Y110="","",IF(I$8="A",(RANK(Y110,Y$11:Y$333,1)+COUNTIF(Y$11:Y110,Y110)-1),(RANK(Y110,Y$11:Y$333)+COUNTIF(Y$11:Y110,Y110)-1)))</f>
        <v/>
      </c>
      <c r="AA110" s="177" t="str">
        <f>IF(L110="","",VLOOKUP($L110,classifications!C:I,7,FALSE))</f>
        <v/>
      </c>
      <c r="AB110" s="173" t="str">
        <f t="shared" si="39"/>
        <v/>
      </c>
      <c r="AC110" s="173" t="str">
        <f>IF(AB110="","",IF($I$8="A",(RANK(AB110,AB$11:AB$333)+COUNTIF(AB$11:AB110,AB110)-1),(RANK(AB110,AB$11:AB$333,1)+COUNTIF(AB$11:AB110,AB110)-1)))</f>
        <v/>
      </c>
      <c r="AD110" s="173"/>
      <c r="AE110" s="45">
        <f>IF(I$8="A",(RANK(AG110,AG$11:AG$333,1)+COUNTIF(AG$11:AG110,AG110)-1),(RANK(AG110,AG$11:AG$333)+COUNTIF(AG$11:AG110,AG110)-1))</f>
        <v>99</v>
      </c>
      <c r="AF110" t="str">
        <f>VLOOKUP(Profile!$J$5,Families!$C:$R,2,FALSE)</f>
        <v>Cheshire West &amp; Chester</v>
      </c>
      <c r="AG110" s="15">
        <f t="shared" si="52"/>
        <v>100</v>
      </c>
      <c r="AH110" s="46">
        <f t="shared" si="40"/>
        <v>99</v>
      </c>
      <c r="AI110" s="5" t="str">
        <f>IF(L110="","",VLOOKUP($L110,classifications!$C:$J,8,FALSE))</f>
        <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100</v>
      </c>
    </row>
    <row r="111" spans="1:50">
      <c r="A111" s="55" t="str">
        <f>$D$1&amp;101</f>
        <v>UA101</v>
      </c>
      <c r="B111" s="56">
        <f>IF(ISERROR(VLOOKUP(A111,classifications!A:C,3,FALSE)),0,VLOOKUP(A111,classifications!A:C,3,FALSE))</f>
        <v>0</v>
      </c>
      <c r="C111" t="s">
        <v>71</v>
      </c>
      <c r="D111" t="str">
        <f>VLOOKUP($C111,classifications!$C:$J,4,FALSE)</f>
        <v>SD</v>
      </c>
      <c r="E111">
        <f>VLOOKUP(C111,classifications!C:K,9,FALSE)</f>
        <v>0</v>
      </c>
      <c r="F111">
        <f t="shared" si="43"/>
        <v>80</v>
      </c>
      <c r="G111" s="15"/>
      <c r="H111" s="41" t="str">
        <f t="shared" si="44"/>
        <v/>
      </c>
      <c r="I111" s="73" t="str">
        <f>IF(H111="","",IF($I$8="A",(RANK(H111,H$11:H$333,1)+COUNTIF(H$11:H111,H111)-1),(RANK(H111,H$11:H$333)+COUNTIF(H$11:H111,H111)-1)))</f>
        <v/>
      </c>
      <c r="J111" s="40"/>
      <c r="K111" s="35" t="str">
        <f t="shared" si="51"/>
        <v/>
      </c>
      <c r="L111" t="str">
        <f t="shared" si="45"/>
        <v/>
      </c>
      <c r="M111" s="109" t="str">
        <f t="shared" si="46"/>
        <v/>
      </c>
      <c r="N111" s="104" t="str">
        <f t="shared" si="31"/>
        <v/>
      </c>
      <c r="O111" s="89" t="str">
        <f t="shared" si="32"/>
        <v/>
      </c>
      <c r="P111" s="89" t="str">
        <f t="shared" si="33"/>
        <v/>
      </c>
      <c r="Q111" s="89" t="str">
        <f t="shared" si="34"/>
        <v/>
      </c>
      <c r="R111" s="85" t="str">
        <f t="shared" si="35"/>
        <v/>
      </c>
      <c r="S111" s="41" t="str">
        <f t="shared" si="36"/>
        <v/>
      </c>
      <c r="T111" s="166" t="str">
        <f>IF(L111="","",VLOOKUP(L111,classifications!C:K,9,FALSE))</f>
        <v/>
      </c>
      <c r="U111" s="167" t="str">
        <f t="shared" si="37"/>
        <v/>
      </c>
      <c r="V111" s="173" t="str">
        <f>IF(U111="","",IF($I$8="A",(RANK(U111,U$11:U$333)+COUNTIF(U$11:U111,U111)-1),(RANK(U111,U$11:U$333,1)+COUNTIF(U$11:U111,U111)-1)))</f>
        <v/>
      </c>
      <c r="W111" s="174"/>
      <c r="X111" s="5" t="str">
        <f>IF(L111="","",VLOOKUP($L111,classifications!$C:$J,6,FALSE))</f>
        <v/>
      </c>
      <c r="Y111" t="str">
        <f t="shared" si="38"/>
        <v/>
      </c>
      <c r="Z111" s="39" t="str">
        <f>IF(Y111="","",IF(I$8="A",(RANK(Y111,Y$11:Y$333,1)+COUNTIF(Y$11:Y111,Y111)-1),(RANK(Y111,Y$11:Y$333)+COUNTIF(Y$11:Y111,Y111)-1)))</f>
        <v/>
      </c>
      <c r="AA111" s="177" t="str">
        <f>IF(L111="","",VLOOKUP($L111,classifications!C:I,7,FALSE))</f>
        <v/>
      </c>
      <c r="AB111" s="173" t="str">
        <f t="shared" si="39"/>
        <v/>
      </c>
      <c r="AC111" s="173" t="str">
        <f>IF(AB111="","",IF($I$8="A",(RANK(AB111,AB$11:AB$333)+COUNTIF(AB$11:AB111,AB111)-1),(RANK(AB111,AB$11:AB$333,1)+COUNTIF(AB$11:AB111,AB111)-1)))</f>
        <v/>
      </c>
      <c r="AD111" s="173"/>
      <c r="AE111" s="45">
        <f>IF(I$8="A",(RANK(AG111,AG$11:AG$333,1)+COUNTIF(AG$11:AG111,AG111)-1),(RANK(AG111,AG$11:AG$333)+COUNTIF(AG$11:AG111,AG111)-1))</f>
        <v>100</v>
      </c>
      <c r="AF111" t="str">
        <f>VLOOKUP(Profile!$J$5,Families!$C:$R,2,FALSE)</f>
        <v>Cheshire West &amp; Chester</v>
      </c>
      <c r="AG111" s="15">
        <f t="shared" si="52"/>
        <v>100</v>
      </c>
      <c r="AH111" s="46">
        <f t="shared" si="40"/>
        <v>100</v>
      </c>
      <c r="AI111" s="5" t="str">
        <f>IF(L111="","",VLOOKUP($L111,classifications!$C:$J,8,FALSE))</f>
        <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80</v>
      </c>
    </row>
    <row r="112" spans="1:50">
      <c r="A112" s="55" t="str">
        <f>$D$1&amp;102</f>
        <v>UA102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t="str">
        <f t="shared" si="51"/>
        <v/>
      </c>
      <c r="L112" t="str">
        <f t="shared" si="45"/>
        <v/>
      </c>
      <c r="M112" s="109" t="str">
        <f t="shared" si="46"/>
        <v/>
      </c>
      <c r="N112" s="104" t="str">
        <f t="shared" si="31"/>
        <v/>
      </c>
      <c r="O112" s="89" t="str">
        <f t="shared" si="32"/>
        <v/>
      </c>
      <c r="P112" s="89" t="str">
        <f t="shared" si="33"/>
        <v/>
      </c>
      <c r="Q112" s="89" t="str">
        <f t="shared" si="34"/>
        <v/>
      </c>
      <c r="R112" s="85" t="str">
        <f t="shared" si="35"/>
        <v/>
      </c>
      <c r="S112" s="41" t="str">
        <f t="shared" si="36"/>
        <v/>
      </c>
      <c r="T112" s="166" t="str">
        <f>IF(L112="","",VLOOKUP(L112,classifications!C:K,9,FALSE))</f>
        <v/>
      </c>
      <c r="U112" s="167" t="str">
        <f t="shared" si="37"/>
        <v/>
      </c>
      <c r="V112" s="173" t="str">
        <f>IF(U112="","",IF($I$8="A",(RANK(U112,U$11:U$333)+COUNTIF(U$11:U112,U112)-1),(RANK(U112,U$11:U$333,1)+COUNTIF(U$11:U112,U112)-1)))</f>
        <v/>
      </c>
      <c r="W112" s="174"/>
      <c r="X112" s="5" t="str">
        <f>IF(L112="","",VLOOKUP($L112,classifications!$C:$J,6,FALSE))</f>
        <v/>
      </c>
      <c r="Y112" t="str">
        <f t="shared" si="38"/>
        <v/>
      </c>
      <c r="Z112" s="39" t="str">
        <f>IF(Y112="","",IF(I$8="A",(RANK(Y112,Y$11:Y$333,1)+COUNTIF(Y$11:Y112,Y112)-1),(RANK(Y112,Y$11:Y$333)+COUNTIF(Y$11:Y112,Y112)-1)))</f>
        <v/>
      </c>
      <c r="AA112" s="177" t="str">
        <f>IF(L112="","",VLOOKUP($L112,classifications!C:I,7,FALSE))</f>
        <v/>
      </c>
      <c r="AB112" s="173" t="str">
        <f t="shared" si="39"/>
        <v/>
      </c>
      <c r="AC112" s="173" t="str">
        <f>IF(AB112="","",IF($I$8="A",(RANK(AB112,AB$11:AB$333)+COUNTIF(AB$11:AB112,AB112)-1),(RANK(AB112,AB$11:AB$333,1)+COUNTIF(AB$11:AB112,AB112)-1)))</f>
        <v/>
      </c>
      <c r="AD112" s="173"/>
      <c r="AE112" s="45">
        <f>IF(I$8="A",(RANK(AG112,AG$11:AG$333,1)+COUNTIF(AG$11:AG112,AG112)-1),(RANK(AG112,AG$11:AG$333)+COUNTIF(AG$11:AG112,AG112)-1))</f>
        <v>101</v>
      </c>
      <c r="AF112" t="str">
        <f>VLOOKUP(Profile!$J$5,Families!$C:$R,2,FALSE)</f>
        <v>Cheshire West &amp; Chester</v>
      </c>
      <c r="AG112" s="15">
        <f t="shared" si="52"/>
        <v>100</v>
      </c>
      <c r="AH112" s="46">
        <f t="shared" si="40"/>
        <v>101</v>
      </c>
      <c r="AI112" s="5" t="str">
        <f>IF(L112="","",VLOOKUP($L112,classifications!$C:$J,8,FALSE))</f>
        <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UA103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t="str">
        <f t="shared" si="44"/>
        <v/>
      </c>
      <c r="I113" s="73" t="str">
        <f>IF(H113="","",IF($I$8="A",(RANK(H113,H$11:H$333,1)+COUNTIF(H$11:H113,H113)-1),(RANK(H113,H$11:H$333)+COUNTIF(H$11:H113,H113)-1)))</f>
        <v/>
      </c>
      <c r="J113" s="40"/>
      <c r="K113" s="35" t="str">
        <f t="shared" si="51"/>
        <v/>
      </c>
      <c r="L113" t="str">
        <f t="shared" si="45"/>
        <v/>
      </c>
      <c r="M113" s="109" t="str">
        <f t="shared" si="46"/>
        <v/>
      </c>
      <c r="N113" s="104" t="str">
        <f t="shared" si="31"/>
        <v/>
      </c>
      <c r="O113" s="89" t="str">
        <f t="shared" si="32"/>
        <v/>
      </c>
      <c r="P113" s="89" t="str">
        <f t="shared" si="33"/>
        <v/>
      </c>
      <c r="Q113" s="89" t="str">
        <f t="shared" si="34"/>
        <v/>
      </c>
      <c r="R113" s="85" t="str">
        <f t="shared" si="35"/>
        <v/>
      </c>
      <c r="S113" s="41" t="str">
        <f t="shared" si="36"/>
        <v/>
      </c>
      <c r="T113" s="166" t="str">
        <f>IF(L113="","",VLOOKUP(L113,classifications!C:K,9,FALSE))</f>
        <v/>
      </c>
      <c r="U113" s="167" t="str">
        <f t="shared" si="37"/>
        <v/>
      </c>
      <c r="V113" s="173" t="str">
        <f>IF(U113="","",IF($I$8="A",(RANK(U113,U$11:U$333)+COUNTIF(U$11:U113,U113)-1),(RANK(U113,U$11:U$333,1)+COUNTIF(U$11:U113,U113)-1)))</f>
        <v/>
      </c>
      <c r="W113" s="174"/>
      <c r="X113" s="5" t="str">
        <f>IF(L113="","",VLOOKUP($L113,classifications!$C:$J,6,FALSE))</f>
        <v/>
      </c>
      <c r="Y113" t="str">
        <f t="shared" si="38"/>
        <v/>
      </c>
      <c r="Z113" s="39" t="str">
        <f>IF(Y113="","",IF(I$8="A",(RANK(Y113,Y$11:Y$333,1)+COUNTIF(Y$11:Y113,Y113)-1),(RANK(Y113,Y$11:Y$333)+COUNTIF(Y$11:Y113,Y113)-1)))</f>
        <v/>
      </c>
      <c r="AA113" s="177" t="str">
        <f>IF(L113="","",VLOOKUP($L113,classifications!C:I,7,FALSE))</f>
        <v/>
      </c>
      <c r="AB113" s="173" t="str">
        <f t="shared" si="39"/>
        <v/>
      </c>
      <c r="AC113" s="173" t="str">
        <f>IF(AB113="","",IF($I$8="A",(RANK(AB113,AB$11:AB$333)+COUNTIF(AB$11:AB113,AB113)-1),(RANK(AB113,AB$11:AB$333,1)+COUNTIF(AB$11:AB113,AB113)-1)))</f>
        <v/>
      </c>
      <c r="AD113" s="173"/>
      <c r="AE113" s="45">
        <f>IF(I$8="A",(RANK(AG113,AG$11:AG$333,1)+COUNTIF(AG$11:AG113,AG113)-1),(RANK(AG113,AG$11:AG$333)+COUNTIF(AG$11:AG113,AG113)-1))</f>
        <v>102</v>
      </c>
      <c r="AF113" t="str">
        <f>VLOOKUP(Profile!$J$5,Families!$C:$R,2,FALSE)</f>
        <v>Cheshire West &amp; Chester</v>
      </c>
      <c r="AG113" s="15">
        <f t="shared" si="52"/>
        <v>100</v>
      </c>
      <c r="AH113" s="46">
        <f t="shared" si="40"/>
        <v>102</v>
      </c>
      <c r="AI113" s="5" t="str">
        <f>IF(L113="","",VLOOKUP($L113,classifications!$C:$J,8,FALSE))</f>
        <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UA104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t="str">
        <f t="shared" si="44"/>
        <v/>
      </c>
      <c r="I114" s="73" t="str">
        <f>IF(H114="","",IF($I$8="A",(RANK(H114,H$11:H$333,1)+COUNTIF(H$11:H114,H114)-1),(RANK(H114,H$11:H$333)+COUNTIF(H$11:H114,H114)-1)))</f>
        <v/>
      </c>
      <c r="J114" s="40"/>
      <c r="K114" s="35" t="str">
        <f t="shared" si="51"/>
        <v/>
      </c>
      <c r="L114" t="str">
        <f t="shared" si="45"/>
        <v/>
      </c>
      <c r="M114" s="109" t="str">
        <f t="shared" si="46"/>
        <v/>
      </c>
      <c r="N114" s="104" t="str">
        <f t="shared" si="31"/>
        <v/>
      </c>
      <c r="O114" s="89" t="str">
        <f t="shared" si="32"/>
        <v/>
      </c>
      <c r="P114" s="89" t="str">
        <f t="shared" si="33"/>
        <v/>
      </c>
      <c r="Q114" s="89" t="str">
        <f t="shared" si="34"/>
        <v/>
      </c>
      <c r="R114" s="85" t="str">
        <f t="shared" si="35"/>
        <v/>
      </c>
      <c r="S114" s="41" t="str">
        <f t="shared" si="36"/>
        <v/>
      </c>
      <c r="T114" s="166" t="str">
        <f>IF(L114="","",VLOOKUP(L114,classifications!C:K,9,FALSE))</f>
        <v/>
      </c>
      <c r="U114" s="167" t="str">
        <f t="shared" si="37"/>
        <v/>
      </c>
      <c r="V114" s="173" t="str">
        <f>IF(U114="","",IF($I$8="A",(RANK(U114,U$11:U$333)+COUNTIF(U$11:U114,U114)-1),(RANK(U114,U$11:U$333,1)+COUNTIF(U$11:U114,U114)-1)))</f>
        <v/>
      </c>
      <c r="W114" s="174"/>
      <c r="X114" s="5" t="str">
        <f>IF(L114="","",VLOOKUP($L114,classifications!$C:$J,6,FALSE))</f>
        <v/>
      </c>
      <c r="Y114" t="str">
        <f t="shared" si="38"/>
        <v/>
      </c>
      <c r="Z114" s="39" t="str">
        <f>IF(Y114="","",IF(I$8="A",(RANK(Y114,Y$11:Y$333,1)+COUNTIF(Y$11:Y114,Y114)-1),(RANK(Y114,Y$11:Y$333)+COUNTIF(Y$11:Y114,Y114)-1)))</f>
        <v/>
      </c>
      <c r="AA114" s="177" t="str">
        <f>IF(L114="","",VLOOKUP($L114,classifications!C:I,7,FALSE))</f>
        <v/>
      </c>
      <c r="AB114" s="173" t="str">
        <f t="shared" si="39"/>
        <v/>
      </c>
      <c r="AC114" s="173" t="str">
        <f>IF(AB114="","",IF($I$8="A",(RANK(AB114,AB$11:AB$333)+COUNTIF(AB$11:AB114,AB114)-1),(RANK(AB114,AB$11:AB$333,1)+COUNTIF(AB$11:AB114,AB114)-1)))</f>
        <v/>
      </c>
      <c r="AD114" s="173"/>
      <c r="AE114" s="45">
        <f>IF(I$8="A",(RANK(AG114,AG$11:AG$333,1)+COUNTIF(AG$11:AG114,AG114)-1),(RANK(AG114,AG$11:AG$333)+COUNTIF(AG$11:AG114,AG114)-1))</f>
        <v>103</v>
      </c>
      <c r="AF114" t="str">
        <f>VLOOKUP(Profile!$J$5,Families!$C:$R,2,FALSE)</f>
        <v>Cheshire West &amp; Chester</v>
      </c>
      <c r="AG114" s="15">
        <f t="shared" si="52"/>
        <v>100</v>
      </c>
      <c r="AH114" s="46">
        <f t="shared" si="40"/>
        <v>103</v>
      </c>
      <c r="AI114" s="5" t="str">
        <f>IF(L114="","",VLOOKUP($L114,classifications!$C:$J,8,FALSE))</f>
        <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UA105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t="str">
        <f t="shared" si="51"/>
        <v/>
      </c>
      <c r="L115" t="str">
        <f t="shared" si="45"/>
        <v/>
      </c>
      <c r="M115" s="109" t="str">
        <f t="shared" si="46"/>
        <v/>
      </c>
      <c r="N115" s="104" t="str">
        <f t="shared" si="31"/>
        <v/>
      </c>
      <c r="O115" s="89" t="str">
        <f t="shared" si="32"/>
        <v/>
      </c>
      <c r="P115" s="89" t="str">
        <f t="shared" si="33"/>
        <v/>
      </c>
      <c r="Q115" s="89" t="str">
        <f t="shared" si="34"/>
        <v/>
      </c>
      <c r="R115" s="85" t="str">
        <f t="shared" si="35"/>
        <v/>
      </c>
      <c r="S115" s="41" t="str">
        <f t="shared" si="36"/>
        <v/>
      </c>
      <c r="T115" s="166" t="str">
        <f>IF(L115="","",VLOOKUP(L115,classifications!C:K,9,FALSE))</f>
        <v/>
      </c>
      <c r="U115" s="167" t="str">
        <f t="shared" si="37"/>
        <v/>
      </c>
      <c r="V115" s="173" t="str">
        <f>IF(U115="","",IF($I$8="A",(RANK(U115,U$11:U$333)+COUNTIF(U$11:U115,U115)-1),(RANK(U115,U$11:U$333,1)+COUNTIF(U$11:U115,U115)-1)))</f>
        <v/>
      </c>
      <c r="W115" s="174"/>
      <c r="X115" s="5" t="str">
        <f>IF(L115="","",VLOOKUP($L115,classifications!$C:$J,6,FALSE))</f>
        <v/>
      </c>
      <c r="Y115" t="str">
        <f t="shared" si="38"/>
        <v/>
      </c>
      <c r="Z115" s="39" t="str">
        <f>IF(Y115="","",IF(I$8="A",(RANK(Y115,Y$11:Y$333,1)+COUNTIF(Y$11:Y115,Y115)-1),(RANK(Y115,Y$11:Y$333)+COUNTIF(Y$11:Y115,Y115)-1)))</f>
        <v/>
      </c>
      <c r="AA115" s="177" t="str">
        <f>IF(L115="","",VLOOKUP($L115,classifications!C:I,7,FALSE))</f>
        <v/>
      </c>
      <c r="AB115" s="173" t="str">
        <f t="shared" si="39"/>
        <v/>
      </c>
      <c r="AC115" s="173" t="str">
        <f>IF(AB115="","",IF($I$8="A",(RANK(AB115,AB$11:AB$333)+COUNTIF(AB$11:AB115,AB115)-1),(RANK(AB115,AB$11:AB$333,1)+COUNTIF(AB$11:AB115,AB115)-1)))</f>
        <v/>
      </c>
      <c r="AD115" s="173"/>
      <c r="AE115" s="45">
        <f>IF(I$8="A",(RANK(AG115,AG$11:AG$333,1)+COUNTIF(AG$11:AG115,AG115)-1),(RANK(AG115,AG$11:AG$333)+COUNTIF(AG$11:AG115,AG115)-1))</f>
        <v>104</v>
      </c>
      <c r="AF115" t="str">
        <f>VLOOKUP(Profile!$J$5,Families!$C:$R,2,FALSE)</f>
        <v>Cheshire West &amp; Chester</v>
      </c>
      <c r="AG115" s="15">
        <f t="shared" si="52"/>
        <v>100</v>
      </c>
      <c r="AH115" s="46">
        <f t="shared" si="40"/>
        <v>104</v>
      </c>
      <c r="AI115" s="5" t="str">
        <f>IF(L115="","",VLOOKUP($L115,classifications!$C:$J,8,FALSE))</f>
        <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UA106</v>
      </c>
      <c r="B116" s="56">
        <f>IF(ISERROR(VLOOKUP(A116,classifications!A:C,3,FALSE)),0,VLOOKUP(A116,classifications!A:C,3,FALSE))</f>
        <v>0</v>
      </c>
      <c r="C116" t="s">
        <v>74</v>
      </c>
      <c r="D116" t="str">
        <f>VLOOKUP($C116,classifications!$C:$J,4,FALSE)</f>
        <v>SD</v>
      </c>
      <c r="E116">
        <f>VLOOKUP(C116,classifications!C:K,9,FALSE)</f>
        <v>0</v>
      </c>
      <c r="F116">
        <f t="shared" si="43"/>
        <v>0</v>
      </c>
      <c r="G116" s="15"/>
      <c r="H116" s="41" t="str">
        <f t="shared" si="44"/>
        <v/>
      </c>
      <c r="I116" s="73" t="str">
        <f>IF(H116="","",IF($I$8="A",(RANK(H116,H$11:H$333,1)+COUNTIF(H$11:H116,H116)-1),(RANK(H116,H$11:H$333)+COUNTIF(H$11:H116,H116)-1)))</f>
        <v/>
      </c>
      <c r="J116" s="40"/>
      <c r="K116" s="35" t="str">
        <f t="shared" si="51"/>
        <v/>
      </c>
      <c r="L116" t="str">
        <f t="shared" si="45"/>
        <v/>
      </c>
      <c r="M116" s="109" t="str">
        <f t="shared" si="46"/>
        <v/>
      </c>
      <c r="N116" s="104" t="str">
        <f t="shared" si="31"/>
        <v/>
      </c>
      <c r="O116" s="89" t="str">
        <f t="shared" si="32"/>
        <v/>
      </c>
      <c r="P116" s="89" t="str">
        <f t="shared" si="33"/>
        <v/>
      </c>
      <c r="Q116" s="89" t="str">
        <f t="shared" si="34"/>
        <v/>
      </c>
      <c r="R116" s="85" t="str">
        <f t="shared" si="35"/>
        <v/>
      </c>
      <c r="S116" s="41" t="str">
        <f t="shared" si="36"/>
        <v/>
      </c>
      <c r="T116" s="166" t="str">
        <f>IF(L116="","",VLOOKUP(L116,classifications!C:K,9,FALSE))</f>
        <v/>
      </c>
      <c r="U116" s="167" t="str">
        <f t="shared" si="37"/>
        <v/>
      </c>
      <c r="V116" s="173" t="str">
        <f>IF(U116="","",IF($I$8="A",(RANK(U116,U$11:U$333)+COUNTIF(U$11:U116,U116)-1),(RANK(U116,U$11:U$333,1)+COUNTIF(U$11:U116,U116)-1)))</f>
        <v/>
      </c>
      <c r="W116" s="174"/>
      <c r="X116" s="5" t="str">
        <f>IF(L116="","",VLOOKUP($L116,classifications!$C:$J,6,FALSE))</f>
        <v/>
      </c>
      <c r="Y116" t="str">
        <f t="shared" si="38"/>
        <v/>
      </c>
      <c r="Z116" s="39" t="str">
        <f>IF(Y116="","",IF(I$8="A",(RANK(Y116,Y$11:Y$333,1)+COUNTIF(Y$11:Y116,Y116)-1),(RANK(Y116,Y$11:Y$333)+COUNTIF(Y$11:Y116,Y116)-1)))</f>
        <v/>
      </c>
      <c r="AA116" s="177" t="str">
        <f>IF(L116="","",VLOOKUP($L116,classifications!C:I,7,FALSE))</f>
        <v/>
      </c>
      <c r="AB116" s="173" t="str">
        <f t="shared" si="39"/>
        <v/>
      </c>
      <c r="AC116" s="173" t="str">
        <f>IF(AB116="","",IF($I$8="A",(RANK(AB116,AB$11:AB$333)+COUNTIF(AB$11:AB116,AB116)-1),(RANK(AB116,AB$11:AB$333,1)+COUNTIF(AB$11:AB116,AB116)-1)))</f>
        <v/>
      </c>
      <c r="AD116" s="173"/>
      <c r="AE116" s="45">
        <f>IF(I$8="A",(RANK(AG116,AG$11:AG$333,1)+COUNTIF(AG$11:AG116,AG116)-1),(RANK(AG116,AG$11:AG$333)+COUNTIF(AG$11:AG116,AG116)-1))</f>
        <v>105</v>
      </c>
      <c r="AF116" t="str">
        <f>VLOOKUP(Profile!$J$5,Families!$C:$R,2,FALSE)</f>
        <v>Cheshire West &amp; Chester</v>
      </c>
      <c r="AG116" s="15">
        <f t="shared" si="52"/>
        <v>100</v>
      </c>
      <c r="AH116" s="46">
        <f t="shared" si="40"/>
        <v>105</v>
      </c>
      <c r="AI116" s="5" t="str">
        <f>IF(L116="","",VLOOKUP($L116,classifications!$C:$J,8,FALSE))</f>
        <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0</v>
      </c>
    </row>
    <row r="117" spans="1:50">
      <c r="A117" s="55" t="str">
        <f>$D$1&amp;107</f>
        <v>UA107</v>
      </c>
      <c r="B117" s="56">
        <f>IF(ISERROR(VLOOKUP(A117,classifications!A:C,3,FALSE)),0,VLOOKUP(A117,classifications!A:C,3,FALSE))</f>
        <v>0</v>
      </c>
      <c r="C117" t="s">
        <v>75</v>
      </c>
      <c r="D117" t="str">
        <f>VLOOKUP($C117,classifications!$C:$J,4,FALSE)</f>
        <v>SD</v>
      </c>
      <c r="E117">
        <f>VLOOKUP(C117,classifications!C:K,9,FALSE)</f>
        <v>0</v>
      </c>
      <c r="F117">
        <f t="shared" si="43"/>
        <v>83.333333333333343</v>
      </c>
      <c r="G117" s="15"/>
      <c r="H117" s="41" t="str">
        <f t="shared" si="44"/>
        <v/>
      </c>
      <c r="I117" s="73" t="str">
        <f>IF(H117="","",IF($I$8="A",(RANK(H117,H$11:H$333,1)+COUNTIF(H$11:H117,H117)-1),(RANK(H117,H$11:H$333)+COUNTIF(H$11:H117,H117)-1)))</f>
        <v/>
      </c>
      <c r="J117" s="40"/>
      <c r="K117" s="35" t="str">
        <f t="shared" si="51"/>
        <v/>
      </c>
      <c r="L117" t="str">
        <f t="shared" si="45"/>
        <v/>
      </c>
      <c r="M117" s="109" t="str">
        <f t="shared" si="46"/>
        <v/>
      </c>
      <c r="N117" s="104" t="str">
        <f t="shared" si="31"/>
        <v/>
      </c>
      <c r="O117" s="89" t="str">
        <f t="shared" si="32"/>
        <v/>
      </c>
      <c r="P117" s="89" t="str">
        <f t="shared" si="33"/>
        <v/>
      </c>
      <c r="Q117" s="89" t="str">
        <f t="shared" si="34"/>
        <v/>
      </c>
      <c r="R117" s="85" t="str">
        <f t="shared" si="35"/>
        <v/>
      </c>
      <c r="S117" s="41" t="str">
        <f t="shared" si="36"/>
        <v/>
      </c>
      <c r="T117" s="166" t="str">
        <f>IF(L117="","",VLOOKUP(L117,classifications!C:K,9,FALSE))</f>
        <v/>
      </c>
      <c r="U117" s="167" t="str">
        <f t="shared" si="37"/>
        <v/>
      </c>
      <c r="V117" s="173" t="str">
        <f>IF(U117="","",IF($I$8="A",(RANK(U117,U$11:U$333)+COUNTIF(U$11:U117,U117)-1),(RANK(U117,U$11:U$333,1)+COUNTIF(U$11:U117,U117)-1)))</f>
        <v/>
      </c>
      <c r="W117" s="174"/>
      <c r="X117" s="5" t="str">
        <f>IF(L117="","",VLOOKUP($L117,classifications!$C:$J,6,FALSE))</f>
        <v/>
      </c>
      <c r="Y117" t="str">
        <f t="shared" si="38"/>
        <v/>
      </c>
      <c r="Z117" s="39" t="str">
        <f>IF(Y117="","",IF(I$8="A",(RANK(Y117,Y$11:Y$333,1)+COUNTIF(Y$11:Y117,Y117)-1),(RANK(Y117,Y$11:Y$333)+COUNTIF(Y$11:Y117,Y117)-1)))</f>
        <v/>
      </c>
      <c r="AA117" s="177" t="str">
        <f>IF(L117="","",VLOOKUP($L117,classifications!C:I,7,FALSE))</f>
        <v/>
      </c>
      <c r="AB117" s="173" t="str">
        <f t="shared" si="39"/>
        <v/>
      </c>
      <c r="AC117" s="173" t="str">
        <f>IF(AB117="","",IF($I$8="A",(RANK(AB117,AB$11:AB$333)+COUNTIF(AB$11:AB117,AB117)-1),(RANK(AB117,AB$11:AB$333,1)+COUNTIF(AB$11:AB117,AB117)-1)))</f>
        <v/>
      </c>
      <c r="AD117" s="173"/>
      <c r="AE117" s="45">
        <f>IF(I$8="A",(RANK(AG117,AG$11:AG$333,1)+COUNTIF(AG$11:AG117,AG117)-1),(RANK(AG117,AG$11:AG$333)+COUNTIF(AG$11:AG117,AG117)-1))</f>
        <v>106</v>
      </c>
      <c r="AF117" t="str">
        <f>VLOOKUP(Profile!$J$5,Families!$C:$R,2,FALSE)</f>
        <v>Cheshire West &amp; Chester</v>
      </c>
      <c r="AG117" s="15">
        <f t="shared" si="52"/>
        <v>100</v>
      </c>
      <c r="AH117" s="46">
        <f t="shared" si="40"/>
        <v>106</v>
      </c>
      <c r="AI117" s="5" t="str">
        <f>IF(L117="","",VLOOKUP($L117,classifications!$C:$J,8,FALSE))</f>
        <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83.333333333333343</v>
      </c>
    </row>
    <row r="118" spans="1:50">
      <c r="A118" s="55" t="str">
        <f>$D$1&amp;108</f>
        <v>UA108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t="str">
        <f t="shared" si="44"/>
        <v/>
      </c>
      <c r="I118" s="73" t="str">
        <f>IF(H118="","",IF($I$8="A",(RANK(H118,H$11:H$333,1)+COUNTIF(H$11:H118,H118)-1),(RANK(H118,H$11:H$333)+COUNTIF(H$11:H118,H118)-1)))</f>
        <v/>
      </c>
      <c r="J118" s="40"/>
      <c r="K118" s="35" t="str">
        <f t="shared" si="51"/>
        <v/>
      </c>
      <c r="L118" t="str">
        <f t="shared" si="45"/>
        <v/>
      </c>
      <c r="M118" s="109" t="str">
        <f t="shared" si="46"/>
        <v/>
      </c>
      <c r="N118" s="104" t="str">
        <f t="shared" si="31"/>
        <v/>
      </c>
      <c r="O118" s="89" t="str">
        <f t="shared" si="32"/>
        <v/>
      </c>
      <c r="P118" s="89" t="str">
        <f t="shared" si="33"/>
        <v/>
      </c>
      <c r="Q118" s="89" t="str">
        <f t="shared" si="34"/>
        <v/>
      </c>
      <c r="R118" s="85" t="str">
        <f t="shared" si="35"/>
        <v/>
      </c>
      <c r="S118" s="41" t="str">
        <f t="shared" si="36"/>
        <v/>
      </c>
      <c r="T118" s="166" t="str">
        <f>IF(L118="","",VLOOKUP(L118,classifications!C:K,9,FALSE))</f>
        <v/>
      </c>
      <c r="U118" s="167" t="str">
        <f t="shared" si="37"/>
        <v/>
      </c>
      <c r="V118" s="173" t="str">
        <f>IF(U118="","",IF($I$8="A",(RANK(U118,U$11:U$333)+COUNTIF(U$11:U118,U118)-1),(RANK(U118,U$11:U$333,1)+COUNTIF(U$11:U118,U118)-1)))</f>
        <v/>
      </c>
      <c r="W118" s="174"/>
      <c r="X118" s="5" t="str">
        <f>IF(L118="","",VLOOKUP($L118,classifications!$C:$J,6,FALSE))</f>
        <v/>
      </c>
      <c r="Y118" t="str">
        <f t="shared" si="38"/>
        <v/>
      </c>
      <c r="Z118" s="39" t="str">
        <f>IF(Y118="","",IF(I$8="A",(RANK(Y118,Y$11:Y$333,1)+COUNTIF(Y$11:Y118,Y118)-1),(RANK(Y118,Y$11:Y$333)+COUNTIF(Y$11:Y118,Y118)-1)))</f>
        <v/>
      </c>
      <c r="AA118" s="177" t="str">
        <f>IF(L118="","",VLOOKUP($L118,classifications!C:I,7,FALSE))</f>
        <v/>
      </c>
      <c r="AB118" s="173" t="str">
        <f t="shared" si="39"/>
        <v/>
      </c>
      <c r="AC118" s="173" t="str">
        <f>IF(AB118="","",IF($I$8="A",(RANK(AB118,AB$11:AB$333)+COUNTIF(AB$11:AB118,AB118)-1),(RANK(AB118,AB$11:AB$333,1)+COUNTIF(AB$11:AB118,AB118)-1)))</f>
        <v/>
      </c>
      <c r="AD118" s="173"/>
      <c r="AE118" s="45">
        <f>IF(I$8="A",(RANK(AG118,AG$11:AG$333,1)+COUNTIF(AG$11:AG118,AG118)-1),(RANK(AG118,AG$11:AG$333)+COUNTIF(AG$11:AG118,AG118)-1))</f>
        <v>107</v>
      </c>
      <c r="AF118" t="str">
        <f>VLOOKUP(Profile!$J$5,Families!$C:$R,2,FALSE)</f>
        <v>Cheshire West &amp; Chester</v>
      </c>
      <c r="AG118" s="15">
        <f t="shared" si="52"/>
        <v>100</v>
      </c>
      <c r="AH118" s="46">
        <f t="shared" si="40"/>
        <v>107</v>
      </c>
      <c r="AI118" s="5" t="str">
        <f>IF(L118="","",VLOOKUP($L118,classifications!$C:$J,8,FALSE))</f>
        <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UA109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t="str">
        <f t="shared" si="51"/>
        <v/>
      </c>
      <c r="L119" t="str">
        <f t="shared" si="45"/>
        <v/>
      </c>
      <c r="M119" s="109" t="str">
        <f t="shared" si="46"/>
        <v/>
      </c>
      <c r="N119" s="104" t="str">
        <f t="shared" si="31"/>
        <v/>
      </c>
      <c r="O119" s="89" t="str">
        <f t="shared" si="32"/>
        <v/>
      </c>
      <c r="P119" s="89" t="str">
        <f t="shared" si="33"/>
        <v/>
      </c>
      <c r="Q119" s="89" t="str">
        <f t="shared" si="34"/>
        <v/>
      </c>
      <c r="R119" s="85" t="str">
        <f t="shared" si="35"/>
        <v/>
      </c>
      <c r="S119" s="41" t="str">
        <f t="shared" si="36"/>
        <v/>
      </c>
      <c r="T119" s="166" t="str">
        <f>IF(L119="","",VLOOKUP(L119,classifications!C:K,9,FALSE))</f>
        <v/>
      </c>
      <c r="U119" s="167" t="str">
        <f t="shared" si="37"/>
        <v/>
      </c>
      <c r="V119" s="173" t="str">
        <f>IF(U119="","",IF($I$8="A",(RANK(U119,U$11:U$333)+COUNTIF(U$11:U119,U119)-1),(RANK(U119,U$11:U$333,1)+COUNTIF(U$11:U119,U119)-1)))</f>
        <v/>
      </c>
      <c r="W119" s="174"/>
      <c r="X119" s="5" t="str">
        <f>IF(L119="","",VLOOKUP($L119,classifications!$C:$J,6,FALSE))</f>
        <v/>
      </c>
      <c r="Y119" t="str">
        <f t="shared" si="38"/>
        <v/>
      </c>
      <c r="Z119" s="39" t="str">
        <f>IF(Y119="","",IF(I$8="A",(RANK(Y119,Y$11:Y$333,1)+COUNTIF(Y$11:Y119,Y119)-1),(RANK(Y119,Y$11:Y$333)+COUNTIF(Y$11:Y119,Y119)-1)))</f>
        <v/>
      </c>
      <c r="AA119" s="177" t="str">
        <f>IF(L119="","",VLOOKUP($L119,classifications!C:I,7,FALSE))</f>
        <v/>
      </c>
      <c r="AB119" s="173" t="str">
        <f t="shared" si="39"/>
        <v/>
      </c>
      <c r="AC119" s="173" t="str">
        <f>IF(AB119="","",IF($I$8="A",(RANK(AB119,AB$11:AB$333)+COUNTIF(AB$11:AB119,AB119)-1),(RANK(AB119,AB$11:AB$333,1)+COUNTIF(AB$11:AB119,AB119)-1)))</f>
        <v/>
      </c>
      <c r="AD119" s="173"/>
      <c r="AE119" s="45">
        <f>IF(I$8="A",(RANK(AG119,AG$11:AG$333,1)+COUNTIF(AG$11:AG119,AG119)-1),(RANK(AG119,AG$11:AG$333)+COUNTIF(AG$11:AG119,AG119)-1))</f>
        <v>108</v>
      </c>
      <c r="AF119" t="str">
        <f>VLOOKUP(Profile!$J$5,Families!$C:$R,2,FALSE)</f>
        <v>Cheshire West &amp; Chester</v>
      </c>
      <c r="AG119" s="15">
        <f t="shared" si="52"/>
        <v>100</v>
      </c>
      <c r="AH119" s="46">
        <f t="shared" si="40"/>
        <v>108</v>
      </c>
      <c r="AI119" s="5" t="str">
        <f>IF(L119="","",VLOOKUP($L119,classifications!$C:$J,8,FALSE))</f>
        <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UA110</v>
      </c>
      <c r="B120" s="56">
        <f>IF(ISERROR(VLOOKUP(A120,classifications!A:C,3,FALSE)),0,VLOOKUP(A120,classifications!A:C,3,FALSE))</f>
        <v>0</v>
      </c>
      <c r="C120" t="s">
        <v>77</v>
      </c>
      <c r="D120" t="str">
        <f>VLOOKUP($C120,classifications!$C:$J,4,FALSE)</f>
        <v>SD</v>
      </c>
      <c r="E120">
        <f>VLOOKUP(C120,classifications!C:K,9,FALSE)</f>
        <v>0</v>
      </c>
      <c r="F120">
        <f t="shared" si="43"/>
        <v>85.714285714285708</v>
      </c>
      <c r="G120" s="15"/>
      <c r="H120" s="41" t="str">
        <f t="shared" si="44"/>
        <v/>
      </c>
      <c r="I120" s="73" t="str">
        <f>IF(H120="","",IF($I$8="A",(RANK(H120,H$11:H$333,1)+COUNTIF(H$11:H120,H120)-1),(RANK(H120,H$11:H$333)+COUNTIF(H$11:H120,H120)-1)))</f>
        <v/>
      </c>
      <c r="J120" s="40"/>
      <c r="K120" s="35" t="str">
        <f t="shared" si="51"/>
        <v/>
      </c>
      <c r="L120" t="str">
        <f t="shared" si="45"/>
        <v/>
      </c>
      <c r="M120" s="109" t="str">
        <f t="shared" si="46"/>
        <v/>
      </c>
      <c r="N120" s="104" t="str">
        <f t="shared" si="31"/>
        <v/>
      </c>
      <c r="O120" s="89" t="str">
        <f t="shared" si="32"/>
        <v/>
      </c>
      <c r="P120" s="89" t="str">
        <f t="shared" si="33"/>
        <v/>
      </c>
      <c r="Q120" s="89" t="str">
        <f t="shared" si="34"/>
        <v/>
      </c>
      <c r="R120" s="85" t="str">
        <f t="shared" si="35"/>
        <v/>
      </c>
      <c r="S120" s="41" t="str">
        <f t="shared" si="36"/>
        <v/>
      </c>
      <c r="T120" s="166" t="str">
        <f>IF(L120="","",VLOOKUP(L120,classifications!C:K,9,FALSE))</f>
        <v/>
      </c>
      <c r="U120" s="167" t="str">
        <f t="shared" si="37"/>
        <v/>
      </c>
      <c r="V120" s="173" t="str">
        <f>IF(U120="","",IF($I$8="A",(RANK(U120,U$11:U$333)+COUNTIF(U$11:U120,U120)-1),(RANK(U120,U$11:U$333,1)+COUNTIF(U$11:U120,U120)-1)))</f>
        <v/>
      </c>
      <c r="W120" s="174"/>
      <c r="X120" s="5" t="str">
        <f>IF(L120="","",VLOOKUP($L120,classifications!$C:$J,6,FALSE))</f>
        <v/>
      </c>
      <c r="Y120" t="str">
        <f t="shared" si="38"/>
        <v/>
      </c>
      <c r="Z120" s="39" t="str">
        <f>IF(Y120="","",IF(I$8="A",(RANK(Y120,Y$11:Y$333,1)+COUNTIF(Y$11:Y120,Y120)-1),(RANK(Y120,Y$11:Y$333)+COUNTIF(Y$11:Y120,Y120)-1)))</f>
        <v/>
      </c>
      <c r="AA120" s="177" t="str">
        <f>IF(L120="","",VLOOKUP($L120,classifications!C:I,7,FALSE))</f>
        <v/>
      </c>
      <c r="AB120" s="173" t="str">
        <f t="shared" si="39"/>
        <v/>
      </c>
      <c r="AC120" s="173" t="str">
        <f>IF(AB120="","",IF($I$8="A",(RANK(AB120,AB$11:AB$333)+COUNTIF(AB$11:AB120,AB120)-1),(RANK(AB120,AB$11:AB$333,1)+COUNTIF(AB$11:AB120,AB120)-1)))</f>
        <v/>
      </c>
      <c r="AD120" s="173"/>
      <c r="AE120" s="45">
        <f>IF(I$8="A",(RANK(AG120,AG$11:AG$333,1)+COUNTIF(AG$11:AG120,AG120)-1),(RANK(AG120,AG$11:AG$333)+COUNTIF(AG$11:AG120,AG120)-1))</f>
        <v>109</v>
      </c>
      <c r="AF120" t="str">
        <f>VLOOKUP(Profile!$J$5,Families!$C:$R,2,FALSE)</f>
        <v>Cheshire West &amp; Chester</v>
      </c>
      <c r="AG120" s="15">
        <f t="shared" si="52"/>
        <v>100</v>
      </c>
      <c r="AH120" s="46">
        <f t="shared" si="40"/>
        <v>109</v>
      </c>
      <c r="AI120" s="5" t="str">
        <f>IF(L120="","",VLOOKUP($L120,classifications!$C:$J,8,FALSE))</f>
        <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85.714285714285708</v>
      </c>
    </row>
    <row r="121" spans="1:50">
      <c r="A121" s="55" t="str">
        <f>$D$1&amp;111</f>
        <v>UA111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t="str">
        <f t="shared" si="51"/>
        <v/>
      </c>
      <c r="L121" t="str">
        <f t="shared" si="45"/>
        <v/>
      </c>
      <c r="M121" s="109" t="str">
        <f t="shared" si="46"/>
        <v/>
      </c>
      <c r="N121" s="104" t="str">
        <f t="shared" si="31"/>
        <v/>
      </c>
      <c r="O121" s="89" t="str">
        <f t="shared" si="32"/>
        <v/>
      </c>
      <c r="P121" s="89" t="str">
        <f t="shared" si="33"/>
        <v/>
      </c>
      <c r="Q121" s="89" t="str">
        <f t="shared" si="34"/>
        <v/>
      </c>
      <c r="R121" s="85" t="str">
        <f t="shared" si="35"/>
        <v/>
      </c>
      <c r="S121" s="41" t="str">
        <f t="shared" si="36"/>
        <v/>
      </c>
      <c r="T121" s="166" t="str">
        <f>IF(L121="","",VLOOKUP(L121,classifications!C:K,9,FALSE))</f>
        <v/>
      </c>
      <c r="U121" s="167" t="str">
        <f t="shared" si="37"/>
        <v/>
      </c>
      <c r="V121" s="173" t="str">
        <f>IF(U121="","",IF($I$8="A",(RANK(U121,U$11:U$333)+COUNTIF(U$11:U121,U121)-1),(RANK(U121,U$11:U$333,1)+COUNTIF(U$11:U121,U121)-1)))</f>
        <v/>
      </c>
      <c r="W121" s="174"/>
      <c r="X121" s="5" t="str">
        <f>IF(L121="","",VLOOKUP($L121,classifications!$C:$J,6,FALSE))</f>
        <v/>
      </c>
      <c r="Y121" t="str">
        <f t="shared" si="38"/>
        <v/>
      </c>
      <c r="Z121" s="39" t="str">
        <f>IF(Y121="","",IF(I$8="A",(RANK(Y121,Y$11:Y$333,1)+COUNTIF(Y$11:Y121,Y121)-1),(RANK(Y121,Y$11:Y$333)+COUNTIF(Y$11:Y121,Y121)-1)))</f>
        <v/>
      </c>
      <c r="AA121" s="177" t="str">
        <f>IF(L121="","",VLOOKUP($L121,classifications!C:I,7,FALSE))</f>
        <v/>
      </c>
      <c r="AB121" s="173" t="str">
        <f t="shared" si="39"/>
        <v/>
      </c>
      <c r="AC121" s="173" t="str">
        <f>IF(AB121="","",IF($I$8="A",(RANK(AB121,AB$11:AB$333)+COUNTIF(AB$11:AB121,AB121)-1),(RANK(AB121,AB$11:AB$333,1)+COUNTIF(AB$11:AB121,AB121)-1)))</f>
        <v/>
      </c>
      <c r="AD121" s="173"/>
      <c r="AE121" s="45">
        <f>IF(I$8="A",(RANK(AG121,AG$11:AG$333,1)+COUNTIF(AG$11:AG121,AG121)-1),(RANK(AG121,AG$11:AG$333)+COUNTIF(AG$11:AG121,AG121)-1))</f>
        <v>110</v>
      </c>
      <c r="AF121" t="str">
        <f>VLOOKUP(Profile!$J$5,Families!$C:$R,2,FALSE)</f>
        <v>Cheshire West &amp; Chester</v>
      </c>
      <c r="AG121" s="15">
        <f t="shared" si="52"/>
        <v>100</v>
      </c>
      <c r="AH121" s="46">
        <f t="shared" si="40"/>
        <v>110</v>
      </c>
      <c r="AI121" s="5" t="str">
        <f>IF(L121="","",VLOOKUP($L121,classifications!$C:$J,8,FALSE))</f>
        <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100</v>
      </c>
    </row>
    <row r="122" spans="1:50">
      <c r="A122" s="55" t="str">
        <f>$D$1&amp;112</f>
        <v>UA112</v>
      </c>
      <c r="B122" s="56">
        <f>IF(ISERROR(VLOOKUP(A122,classifications!A:C,3,FALSE)),0,VLOOKUP(A122,classifications!A:C,3,FALSE))</f>
        <v>0</v>
      </c>
      <c r="C122" t="s">
        <v>268</v>
      </c>
      <c r="D122" t="str">
        <f>VLOOKUP($C122,classifications!$C:$J,4,FALSE)</f>
        <v>UA</v>
      </c>
      <c r="E122">
        <f>VLOOKUP(C122,classifications!C:K,9,FALSE)</f>
        <v>0</v>
      </c>
      <c r="F122">
        <f t="shared" si="43"/>
        <v>100</v>
      </c>
      <c r="G122" s="15"/>
      <c r="H122" s="41">
        <f t="shared" si="44"/>
        <v>100</v>
      </c>
      <c r="I122" s="73">
        <f>IF(H122="","",IF($I$8="A",(RANK(H122,H$11:H$333,1)+COUNTIF(H$11:H122,H122)-1),(RANK(H122,H$11:H$333)+COUNTIF(H$11:H122,H122)-1)))</f>
        <v>7</v>
      </c>
      <c r="J122" s="40"/>
      <c r="K122" s="35" t="str">
        <f t="shared" si="51"/>
        <v/>
      </c>
      <c r="L122" t="str">
        <f t="shared" si="45"/>
        <v/>
      </c>
      <c r="M122" s="109" t="str">
        <f t="shared" si="46"/>
        <v/>
      </c>
      <c r="N122" s="104" t="str">
        <f t="shared" ref="N122:N185" si="55">IF(L122="","",IF($H$8="%%",M122*100,M122))</f>
        <v/>
      </c>
      <c r="O122" s="89" t="str">
        <f t="shared" ref="O122:O185" si="56">IF(I$8="A",IF(N122&gt;=$P$7,IF(N122&lt;=$O$10,N122,""),""),IF(N122&lt;=$P$7,IF(N122&gt;=$O$10,N122,""),""))</f>
        <v/>
      </c>
      <c r="P122" s="89" t="str">
        <f t="shared" ref="P122:P185" si="57">IF(I$8="A",IF(N122&gt;$O$10,IF(N122&lt;=$P$10,N122,""),""),IF(N122&lt;$O$10,IF(N122&gt;=$P$10,N122,""),""))</f>
        <v/>
      </c>
      <c r="Q122" s="89" t="str">
        <f t="shared" ref="Q122:Q185" si="58">IF(I$8="A",IF(N122&gt;$P$10,IF(N122&lt;=$Q$10,N122,""),""),IF(N122&lt;$P$10,IF(N122&gt;=$Q$10,N122,""),""))</f>
        <v/>
      </c>
      <c r="R122" s="85" t="str">
        <f t="shared" ref="R122:R185" si="59">IF(I$8="A",IF(N122&gt;$Q$10,N122,""),IF(N122&lt;$Q$10,N122,""))</f>
        <v/>
      </c>
      <c r="S122" s="41" t="str">
        <f t="shared" ref="S122:S185" si="60">IF(L122=D$3,"u","")</f>
        <v/>
      </c>
      <c r="T122" s="166" t="str">
        <f>IF(L122="","",VLOOKUP(L122,classifications!C:K,9,FALSE))</f>
        <v/>
      </c>
      <c r="U122" s="167" t="str">
        <f t="shared" ref="U122:U185" si="61">IF(T122="Sparse",M122,"")</f>
        <v/>
      </c>
      <c r="V122" s="173" t="str">
        <f>IF(U122="","",IF($I$8="A",(RANK(U122,U$11:U$333)+COUNTIF(U$11:U122,U122)-1),(RANK(U122,U$11:U$333,1)+COUNTIF(U$11:U122,U122)-1)))</f>
        <v/>
      </c>
      <c r="W122" s="174"/>
      <c r="X122" s="5" t="str">
        <f>IF(L122="","",VLOOKUP($L122,classifications!$C:$J,6,FALSE))</f>
        <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
      </c>
      <c r="AB122" s="173" t="str">
        <f t="shared" ref="AB122:AB185" si="63">IF(AA122=$J$3,M122,"")</f>
        <v/>
      </c>
      <c r="AC122" s="173" t="str">
        <f>IF(AB122="","",IF($I$8="A",(RANK(AB122,AB$11:AB$333)+COUNTIF(AB$11:AB122,AB122)-1),(RANK(AB122,AB$11:AB$333,1)+COUNTIF(AB$11:AB122,AB122)-1)))</f>
        <v/>
      </c>
      <c r="AD122" s="173"/>
      <c r="AE122" s="45">
        <f>IF(I$8="A",(RANK(AG122,AG$11:AG$333,1)+COUNTIF(AG$11:AG122,AG122)-1),(RANK(AG122,AG$11:AG$333)+COUNTIF(AG$11:AG122,AG122)-1))</f>
        <v>111</v>
      </c>
      <c r="AF122" t="str">
        <f>VLOOKUP(Profile!$J$5,Families!$C:$R,2,FALSE)</f>
        <v>Cheshire West &amp; Chester</v>
      </c>
      <c r="AG122" s="15">
        <f t="shared" si="52"/>
        <v>100</v>
      </c>
      <c r="AH122" s="46">
        <f t="shared" ref="AH122:AH185" si="64">AE122</f>
        <v>111</v>
      </c>
      <c r="AI122" s="5" t="str">
        <f>IF(L122="","",VLOOKUP($L122,classifications!$C:$J,8,FALSE))</f>
        <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100</v>
      </c>
    </row>
    <row r="123" spans="1:50">
      <c r="A123" s="55" t="str">
        <f>$D$1&amp;113</f>
        <v>UA113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t="str">
        <f t="shared" si="51"/>
        <v/>
      </c>
      <c r="L123" t="str">
        <f t="shared" si="45"/>
        <v/>
      </c>
      <c r="M123" s="109" t="str">
        <f t="shared" si="46"/>
        <v/>
      </c>
      <c r="N123" s="104" t="str">
        <f t="shared" si="55"/>
        <v/>
      </c>
      <c r="O123" s="89" t="str">
        <f t="shared" si="56"/>
        <v/>
      </c>
      <c r="P123" s="89" t="str">
        <f t="shared" si="57"/>
        <v/>
      </c>
      <c r="Q123" s="89" t="str">
        <f t="shared" si="58"/>
        <v/>
      </c>
      <c r="R123" s="85" t="str">
        <f t="shared" si="59"/>
        <v/>
      </c>
      <c r="S123" s="41" t="str">
        <f t="shared" si="60"/>
        <v/>
      </c>
      <c r="T123" s="166" t="str">
        <f>IF(L123="","",VLOOKUP(L123,classifications!C:K,9,FALSE))</f>
        <v/>
      </c>
      <c r="U123" s="167" t="str">
        <f t="shared" si="61"/>
        <v/>
      </c>
      <c r="V123" s="173" t="str">
        <f>IF(U123="","",IF($I$8="A",(RANK(U123,U$11:U$333)+COUNTIF(U$11:U123,U123)-1),(RANK(U123,U$11:U$333,1)+COUNTIF(U$11:U123,U123)-1)))</f>
        <v/>
      </c>
      <c r="W123" s="174"/>
      <c r="X123" s="5" t="str">
        <f>IF(L123="","",VLOOKUP($L123,classifications!$C:$J,6,FALSE))</f>
        <v/>
      </c>
      <c r="Y123" t="str">
        <f t="shared" si="62"/>
        <v/>
      </c>
      <c r="Z123" s="39" t="str">
        <f>IF(Y123="","",IF(I$8="A",(RANK(Y123,Y$11:Y$333,1)+COUNTIF(Y$11:Y123,Y123)-1),(RANK(Y123,Y$11:Y$333)+COUNTIF(Y$11:Y123,Y123)-1)))</f>
        <v/>
      </c>
      <c r="AA123" s="177" t="str">
        <f>IF(L123="","",VLOOKUP($L123,classifications!C:I,7,FALSE))</f>
        <v/>
      </c>
      <c r="AB123" s="173" t="str">
        <f t="shared" si="63"/>
        <v/>
      </c>
      <c r="AC123" s="173" t="str">
        <f>IF(AB123="","",IF($I$8="A",(RANK(AB123,AB$11:AB$333)+COUNTIF(AB$11:AB123,AB123)-1),(RANK(AB123,AB$11:AB$333,1)+COUNTIF(AB$11:AB123,AB123)-1)))</f>
        <v/>
      </c>
      <c r="AD123" s="173"/>
      <c r="AE123" s="45">
        <f>IF(I$8="A",(RANK(AG123,AG$11:AG$333,1)+COUNTIF(AG$11:AG123,AG123)-1),(RANK(AG123,AG$11:AG$333)+COUNTIF(AG$11:AG123,AG123)-1))</f>
        <v>112</v>
      </c>
      <c r="AF123" t="str">
        <f>VLOOKUP(Profile!$J$5,Families!$C:$R,2,FALSE)</f>
        <v>Cheshire West &amp; Chester</v>
      </c>
      <c r="AG123" s="15">
        <f t="shared" si="52"/>
        <v>100</v>
      </c>
      <c r="AH123" s="46">
        <f t="shared" si="64"/>
        <v>112</v>
      </c>
      <c r="AI123" s="5" t="str">
        <f>IF(L123="","",VLOOKUP($L123,classifications!$C:$J,8,FALSE))</f>
        <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UA114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t="str">
        <f t="shared" si="51"/>
        <v/>
      </c>
      <c r="L124" t="str">
        <f t="shared" si="45"/>
        <v/>
      </c>
      <c r="M124" s="109" t="str">
        <f t="shared" si="46"/>
        <v/>
      </c>
      <c r="N124" s="104" t="str">
        <f t="shared" si="55"/>
        <v/>
      </c>
      <c r="O124" s="89" t="str">
        <f t="shared" si="56"/>
        <v/>
      </c>
      <c r="P124" s="89" t="str">
        <f t="shared" si="57"/>
        <v/>
      </c>
      <c r="Q124" s="89" t="str">
        <f t="shared" si="58"/>
        <v/>
      </c>
      <c r="R124" s="85" t="str">
        <f t="shared" si="59"/>
        <v/>
      </c>
      <c r="S124" s="41" t="str">
        <f t="shared" si="60"/>
        <v/>
      </c>
      <c r="T124" s="166" t="str">
        <f>IF(L124="","",VLOOKUP(L124,classifications!C:K,9,FALSE))</f>
        <v/>
      </c>
      <c r="U124" s="167" t="str">
        <f t="shared" si="61"/>
        <v/>
      </c>
      <c r="V124" s="173" t="str">
        <f>IF(U124="","",IF($I$8="A",(RANK(U124,U$11:U$333)+COUNTIF(U$11:U124,U124)-1),(RANK(U124,U$11:U$333,1)+COUNTIF(U$11:U124,U124)-1)))</f>
        <v/>
      </c>
      <c r="W124" s="174"/>
      <c r="X124" s="5" t="str">
        <f>IF(L124="","",VLOOKUP($L124,classifications!$C:$J,6,FALSE))</f>
        <v/>
      </c>
      <c r="Y124" t="str">
        <f t="shared" si="62"/>
        <v/>
      </c>
      <c r="Z124" s="39" t="str">
        <f>IF(Y124="","",IF(I$8="A",(RANK(Y124,Y$11:Y$333,1)+COUNTIF(Y$11:Y124,Y124)-1),(RANK(Y124,Y$11:Y$333)+COUNTIF(Y$11:Y124,Y124)-1)))</f>
        <v/>
      </c>
      <c r="AA124" s="177" t="str">
        <f>IF(L124="","",VLOOKUP($L124,classifications!C:I,7,FALSE))</f>
        <v/>
      </c>
      <c r="AB124" s="173" t="str">
        <f t="shared" si="63"/>
        <v/>
      </c>
      <c r="AC124" s="173" t="str">
        <f>IF(AB124="","",IF($I$8="A",(RANK(AB124,AB$11:AB$333)+COUNTIF(AB$11:AB124,AB124)-1),(RANK(AB124,AB$11:AB$333,1)+COUNTIF(AB$11:AB124,AB124)-1)))</f>
        <v/>
      </c>
      <c r="AD124" s="173"/>
      <c r="AE124" s="45">
        <f>IF(I$8="A",(RANK(AG124,AG$11:AG$333,1)+COUNTIF(AG$11:AG124,AG124)-1),(RANK(AG124,AG$11:AG$333)+COUNTIF(AG$11:AG124,AG124)-1))</f>
        <v>113</v>
      </c>
      <c r="AF124" t="str">
        <f>VLOOKUP(Profile!$J$5,Families!$C:$R,2,FALSE)</f>
        <v>Cheshire West &amp; Chester</v>
      </c>
      <c r="AG124" s="15">
        <f t="shared" si="52"/>
        <v>100</v>
      </c>
      <c r="AH124" s="46">
        <f t="shared" si="64"/>
        <v>113</v>
      </c>
      <c r="AI124" s="5" t="str">
        <f>IF(L124="","",VLOOKUP($L124,classifications!$C:$J,8,FALSE))</f>
        <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UA115</v>
      </c>
      <c r="B125" s="56">
        <f>IF(ISERROR(VLOOKUP(A125,classifications!A:C,3,FALSE)),0,VLOOKUP(A125,classifications!A:C,3,FALSE))</f>
        <v>0</v>
      </c>
      <c r="C125" t="s">
        <v>79</v>
      </c>
      <c r="D125" t="str">
        <f>VLOOKUP($C125,classifications!$C:$J,4,FALSE)</f>
        <v>SD</v>
      </c>
      <c r="E125" t="str">
        <f>VLOOKUP(C125,classifications!C:K,9,FALSE)</f>
        <v>Sparse</v>
      </c>
      <c r="F125">
        <f t="shared" si="43"/>
        <v>53.846153846153847</v>
      </c>
      <c r="G125" s="15"/>
      <c r="H125" s="41" t="str">
        <f t="shared" si="44"/>
        <v/>
      </c>
      <c r="I125" s="73" t="str">
        <f>IF(H125="","",IF($I$8="A",(RANK(H125,H$11:H$333,1)+COUNTIF(H$11:H125,H125)-1),(RANK(H125,H$11:H$333)+COUNTIF(H$11:H125,H125)-1)))</f>
        <v/>
      </c>
      <c r="J125" s="40"/>
      <c r="K125" s="35" t="str">
        <f t="shared" si="51"/>
        <v/>
      </c>
      <c r="L125" t="str">
        <f t="shared" si="45"/>
        <v/>
      </c>
      <c r="M125" s="109" t="str">
        <f t="shared" si="46"/>
        <v/>
      </c>
      <c r="N125" s="104" t="str">
        <f t="shared" si="55"/>
        <v/>
      </c>
      <c r="O125" s="89" t="str">
        <f t="shared" si="56"/>
        <v/>
      </c>
      <c r="P125" s="89" t="str">
        <f t="shared" si="57"/>
        <v/>
      </c>
      <c r="Q125" s="89" t="str">
        <f t="shared" si="58"/>
        <v/>
      </c>
      <c r="R125" s="85" t="str">
        <f t="shared" si="59"/>
        <v/>
      </c>
      <c r="S125" s="41" t="str">
        <f t="shared" si="60"/>
        <v/>
      </c>
      <c r="T125" s="166" t="str">
        <f>IF(L125="","",VLOOKUP(L125,classifications!C:K,9,FALSE))</f>
        <v/>
      </c>
      <c r="U125" s="167" t="str">
        <f t="shared" si="61"/>
        <v/>
      </c>
      <c r="V125" s="173" t="str">
        <f>IF(U125="","",IF($I$8="A",(RANK(U125,U$11:U$333)+COUNTIF(U$11:U125,U125)-1),(RANK(U125,U$11:U$333,1)+COUNTIF(U$11:U125,U125)-1)))</f>
        <v/>
      </c>
      <c r="W125" s="174"/>
      <c r="X125" s="5" t="str">
        <f>IF(L125="","",VLOOKUP($L125,classifications!$C:$J,6,FALSE))</f>
        <v/>
      </c>
      <c r="Y125" t="str">
        <f t="shared" si="62"/>
        <v/>
      </c>
      <c r="Z125" s="39" t="str">
        <f>IF(Y125="","",IF(I$8="A",(RANK(Y125,Y$11:Y$333,1)+COUNTIF(Y$11:Y125,Y125)-1),(RANK(Y125,Y$11:Y$333)+COUNTIF(Y$11:Y125,Y125)-1)))</f>
        <v/>
      </c>
      <c r="AA125" s="177" t="str">
        <f>IF(L125="","",VLOOKUP($L125,classifications!C:I,7,FALSE))</f>
        <v/>
      </c>
      <c r="AB125" s="173" t="str">
        <f t="shared" si="63"/>
        <v/>
      </c>
      <c r="AC125" s="173" t="str">
        <f>IF(AB125="","",IF($I$8="A",(RANK(AB125,AB$11:AB$333)+COUNTIF(AB$11:AB125,AB125)-1),(RANK(AB125,AB$11:AB$333,1)+COUNTIF(AB$11:AB125,AB125)-1)))</f>
        <v/>
      </c>
      <c r="AD125" s="173"/>
      <c r="AE125" s="45">
        <f>IF(I$8="A",(RANK(AG125,AG$11:AG$333,1)+COUNTIF(AG$11:AG125,AG125)-1),(RANK(AG125,AG$11:AG$333)+COUNTIF(AG$11:AG125,AG125)-1))</f>
        <v>114</v>
      </c>
      <c r="AF125" t="str">
        <f>VLOOKUP(Profile!$J$5,Families!$C:$R,2,FALSE)</f>
        <v>Cheshire West &amp; Chester</v>
      </c>
      <c r="AG125" s="15">
        <f t="shared" si="52"/>
        <v>100</v>
      </c>
      <c r="AH125" s="46">
        <f t="shared" si="64"/>
        <v>114</v>
      </c>
      <c r="AI125" s="5" t="str">
        <f>IF(L125="","",VLOOKUP($L125,classifications!$C:$J,8,FALSE))</f>
        <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53.846153846153847</v>
      </c>
    </row>
    <row r="126" spans="1:50">
      <c r="A126" s="55" t="str">
        <f>$D$1&amp;116</f>
        <v>UA116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t="str">
        <f t="shared" si="51"/>
        <v/>
      </c>
      <c r="L126" t="str">
        <f t="shared" si="45"/>
        <v/>
      </c>
      <c r="M126" s="109" t="str">
        <f t="shared" si="46"/>
        <v/>
      </c>
      <c r="N126" s="104" t="str">
        <f t="shared" si="55"/>
        <v/>
      </c>
      <c r="O126" s="89" t="str">
        <f t="shared" si="56"/>
        <v/>
      </c>
      <c r="P126" s="89" t="str">
        <f t="shared" si="57"/>
        <v/>
      </c>
      <c r="Q126" s="89" t="str">
        <f t="shared" si="58"/>
        <v/>
      </c>
      <c r="R126" s="85" t="str">
        <f t="shared" si="59"/>
        <v/>
      </c>
      <c r="S126" s="41" t="str">
        <f t="shared" si="60"/>
        <v/>
      </c>
      <c r="T126" s="166" t="str">
        <f>IF(L126="","",VLOOKUP(L126,classifications!C:K,9,FALSE))</f>
        <v/>
      </c>
      <c r="U126" s="167" t="str">
        <f t="shared" si="61"/>
        <v/>
      </c>
      <c r="V126" s="173" t="str">
        <f>IF(U126="","",IF($I$8="A",(RANK(U126,U$11:U$333)+COUNTIF(U$11:U126,U126)-1),(RANK(U126,U$11:U$333,1)+COUNTIF(U$11:U126,U126)-1)))</f>
        <v/>
      </c>
      <c r="W126" s="174"/>
      <c r="X126" s="5" t="str">
        <f>IF(L126="","",VLOOKUP($L126,classifications!$C:$J,6,FALSE))</f>
        <v/>
      </c>
      <c r="Y126" t="str">
        <f t="shared" si="62"/>
        <v/>
      </c>
      <c r="Z126" s="39" t="str">
        <f>IF(Y126="","",IF(I$8="A",(RANK(Y126,Y$11:Y$333,1)+COUNTIF(Y$11:Y126,Y126)-1),(RANK(Y126,Y$11:Y$333)+COUNTIF(Y$11:Y126,Y126)-1)))</f>
        <v/>
      </c>
      <c r="AA126" s="177" t="str">
        <f>IF(L126="","",VLOOKUP($L126,classifications!C:I,7,FALSE))</f>
        <v/>
      </c>
      <c r="AB126" s="173" t="str">
        <f t="shared" si="63"/>
        <v/>
      </c>
      <c r="AC126" s="173" t="str">
        <f>IF(AB126="","",IF($I$8="A",(RANK(AB126,AB$11:AB$333)+COUNTIF(AB$11:AB126,AB126)-1),(RANK(AB126,AB$11:AB$333,1)+COUNTIF(AB$11:AB126,AB126)-1)))</f>
        <v/>
      </c>
      <c r="AD126" s="173"/>
      <c r="AE126" s="45">
        <f>IF(I$8="A",(RANK(AG126,AG$11:AG$333,1)+COUNTIF(AG$11:AG126,AG126)-1),(RANK(AG126,AG$11:AG$333)+COUNTIF(AG$11:AG126,AG126)-1))</f>
        <v>115</v>
      </c>
      <c r="AF126" t="str">
        <f>VLOOKUP(Profile!$J$5,Families!$C:$R,2,FALSE)</f>
        <v>Cheshire West &amp; Chester</v>
      </c>
      <c r="AG126" s="15">
        <f t="shared" si="52"/>
        <v>100</v>
      </c>
      <c r="AH126" s="46">
        <f t="shared" si="64"/>
        <v>115</v>
      </c>
      <c r="AI126" s="5" t="str">
        <f>IF(L126="","",VLOOKUP($L126,classifications!$C:$J,8,FALSE))</f>
        <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UA117</v>
      </c>
      <c r="B127" s="56">
        <f>IF(ISERROR(VLOOKUP(A127,classifications!A:C,3,FALSE)),0,VLOOKUP(A127,classifications!A:C,3,FALSE))</f>
        <v>0</v>
      </c>
      <c r="C127" t="s">
        <v>80</v>
      </c>
      <c r="D127" t="str">
        <f>VLOOKUP($C127,classifications!$C:$J,4,FALSE)</f>
        <v>SD</v>
      </c>
      <c r="E127">
        <f>VLOOKUP(C127,classifications!C:K,9,FALSE)</f>
        <v>0</v>
      </c>
      <c r="F127">
        <f t="shared" si="43"/>
        <v>66.666666666666657</v>
      </c>
      <c r="G127" s="15"/>
      <c r="H127" s="41" t="str">
        <f t="shared" si="44"/>
        <v/>
      </c>
      <c r="I127" s="73" t="str">
        <f>IF(H127="","",IF($I$8="A",(RANK(H127,H$11:H$333,1)+COUNTIF(H$11:H127,H127)-1),(RANK(H127,H$11:H$333)+COUNTIF(H$11:H127,H127)-1)))</f>
        <v/>
      </c>
      <c r="J127" s="40"/>
      <c r="K127" s="35" t="str">
        <f t="shared" si="51"/>
        <v/>
      </c>
      <c r="L127" t="str">
        <f t="shared" si="45"/>
        <v/>
      </c>
      <c r="M127" s="109" t="str">
        <f t="shared" si="46"/>
        <v/>
      </c>
      <c r="N127" s="104" t="str">
        <f t="shared" si="55"/>
        <v/>
      </c>
      <c r="O127" s="89" t="str">
        <f t="shared" si="56"/>
        <v/>
      </c>
      <c r="P127" s="89" t="str">
        <f t="shared" si="57"/>
        <v/>
      </c>
      <c r="Q127" s="89" t="str">
        <f t="shared" si="58"/>
        <v/>
      </c>
      <c r="R127" s="85" t="str">
        <f t="shared" si="59"/>
        <v/>
      </c>
      <c r="S127" s="41" t="str">
        <f t="shared" si="60"/>
        <v/>
      </c>
      <c r="T127" s="166" t="str">
        <f>IF(L127="","",VLOOKUP(L127,classifications!C:K,9,FALSE))</f>
        <v/>
      </c>
      <c r="U127" s="167" t="str">
        <f t="shared" si="61"/>
        <v/>
      </c>
      <c r="V127" s="173" t="str">
        <f>IF(U127="","",IF($I$8="A",(RANK(U127,U$11:U$333)+COUNTIF(U$11:U127,U127)-1),(RANK(U127,U$11:U$333,1)+COUNTIF(U$11:U127,U127)-1)))</f>
        <v/>
      </c>
      <c r="W127" s="174"/>
      <c r="X127" s="5" t="str">
        <f>IF(L127="","",VLOOKUP($L127,classifications!$C:$J,6,FALSE))</f>
        <v/>
      </c>
      <c r="Y127" t="str">
        <f t="shared" si="62"/>
        <v/>
      </c>
      <c r="Z127" s="39" t="str">
        <f>IF(Y127="","",IF(I$8="A",(RANK(Y127,Y$11:Y$333,1)+COUNTIF(Y$11:Y127,Y127)-1),(RANK(Y127,Y$11:Y$333)+COUNTIF(Y$11:Y127,Y127)-1)))</f>
        <v/>
      </c>
      <c r="AA127" s="177" t="str">
        <f>IF(L127="","",VLOOKUP($L127,classifications!C:I,7,FALSE))</f>
        <v/>
      </c>
      <c r="AB127" s="173" t="str">
        <f t="shared" si="63"/>
        <v/>
      </c>
      <c r="AC127" s="173" t="str">
        <f>IF(AB127="","",IF($I$8="A",(RANK(AB127,AB$11:AB$333)+COUNTIF(AB$11:AB127,AB127)-1),(RANK(AB127,AB$11:AB$333,1)+COUNTIF(AB$11:AB127,AB127)-1)))</f>
        <v/>
      </c>
      <c r="AD127" s="173"/>
      <c r="AE127" s="45">
        <f>IF(I$8="A",(RANK(AG127,AG$11:AG$333,1)+COUNTIF(AG$11:AG127,AG127)-1),(RANK(AG127,AG$11:AG$333)+COUNTIF(AG$11:AG127,AG127)-1))</f>
        <v>116</v>
      </c>
      <c r="AF127" t="str">
        <f>VLOOKUP(Profile!$J$5,Families!$C:$R,2,FALSE)</f>
        <v>Cheshire West &amp; Chester</v>
      </c>
      <c r="AG127" s="15">
        <f t="shared" si="52"/>
        <v>100</v>
      </c>
      <c r="AH127" s="46">
        <f t="shared" si="64"/>
        <v>116</v>
      </c>
      <c r="AI127" s="5" t="str">
        <f>IF(L127="","",VLOOKUP($L127,classifications!$C:$J,8,FALSE))</f>
        <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66.666666666666657</v>
      </c>
    </row>
    <row r="128" spans="1:50">
      <c r="A128" s="55" t="str">
        <f>$D$1&amp;118</f>
        <v>UA118</v>
      </c>
      <c r="B128" s="56">
        <f>IF(ISERROR(VLOOKUP(A128,classifications!A:C,3,FALSE)),0,VLOOKUP(A128,classifications!A:C,3,FALSE))</f>
        <v>0</v>
      </c>
      <c r="C128" t="s">
        <v>207</v>
      </c>
      <c r="D128" t="str">
        <f>VLOOKUP($C128,classifications!$C:$J,4,FALSE)</f>
        <v>L</v>
      </c>
      <c r="E128">
        <f>VLOOKUP(C128,classifications!C:K,9,FALSE)</f>
        <v>0</v>
      </c>
      <c r="F128">
        <f t="shared" si="43"/>
        <v>100</v>
      </c>
      <c r="G128" s="15"/>
      <c r="H128" s="41" t="str">
        <f t="shared" si="44"/>
        <v/>
      </c>
      <c r="I128" s="73" t="str">
        <f>IF(H128="","",IF($I$8="A",(RANK(H128,H$11:H$333,1)+COUNTIF(H$11:H128,H128)-1),(RANK(H128,H$11:H$333)+COUNTIF(H$11:H128,H128)-1)))</f>
        <v/>
      </c>
      <c r="J128" s="40"/>
      <c r="K128" s="35" t="str">
        <f t="shared" si="51"/>
        <v/>
      </c>
      <c r="L128" t="str">
        <f t="shared" si="45"/>
        <v/>
      </c>
      <c r="M128" s="109" t="str">
        <f t="shared" si="46"/>
        <v/>
      </c>
      <c r="N128" s="104" t="str">
        <f t="shared" si="55"/>
        <v/>
      </c>
      <c r="O128" s="89" t="str">
        <f t="shared" si="56"/>
        <v/>
      </c>
      <c r="P128" s="89" t="str">
        <f t="shared" si="57"/>
        <v/>
      </c>
      <c r="Q128" s="89" t="str">
        <f t="shared" si="58"/>
        <v/>
      </c>
      <c r="R128" s="85" t="str">
        <f t="shared" si="59"/>
        <v/>
      </c>
      <c r="S128" s="41" t="str">
        <f t="shared" si="60"/>
        <v/>
      </c>
      <c r="T128" s="166" t="str">
        <f>IF(L128="","",VLOOKUP(L128,classifications!C:K,9,FALSE))</f>
        <v/>
      </c>
      <c r="U128" s="167" t="str">
        <f t="shared" si="61"/>
        <v/>
      </c>
      <c r="V128" s="173" t="str">
        <f>IF(U128="","",IF($I$8="A",(RANK(U128,U$11:U$333)+COUNTIF(U$11:U128,U128)-1),(RANK(U128,U$11:U$333,1)+COUNTIF(U$11:U128,U128)-1)))</f>
        <v/>
      </c>
      <c r="W128" s="174"/>
      <c r="X128" s="5" t="str">
        <f>IF(L128="","",VLOOKUP($L128,classifications!$C:$J,6,FALSE))</f>
        <v/>
      </c>
      <c r="Y128" t="str">
        <f t="shared" si="62"/>
        <v/>
      </c>
      <c r="Z128" s="39" t="str">
        <f>IF(Y128="","",IF(I$8="A",(RANK(Y128,Y$11:Y$333,1)+COUNTIF(Y$11:Y128,Y128)-1),(RANK(Y128,Y$11:Y$333)+COUNTIF(Y$11:Y128,Y128)-1)))</f>
        <v/>
      </c>
      <c r="AA128" s="177" t="str">
        <f>IF(L128="","",VLOOKUP($L128,classifications!C:I,7,FALSE))</f>
        <v/>
      </c>
      <c r="AB128" s="173" t="str">
        <f t="shared" si="63"/>
        <v/>
      </c>
      <c r="AC128" s="173" t="str">
        <f>IF(AB128="","",IF($I$8="A",(RANK(AB128,AB$11:AB$333)+COUNTIF(AB$11:AB128,AB128)-1),(RANK(AB128,AB$11:AB$333,1)+COUNTIF(AB$11:AB128,AB128)-1)))</f>
        <v/>
      </c>
      <c r="AD128" s="173"/>
      <c r="AE128" s="45">
        <f>IF(I$8="A",(RANK(AG128,AG$11:AG$333,1)+COUNTIF(AG$11:AG128,AG128)-1),(RANK(AG128,AG$11:AG$333)+COUNTIF(AG$11:AG128,AG128)-1))</f>
        <v>117</v>
      </c>
      <c r="AF128" t="str">
        <f>VLOOKUP(Profile!$J$5,Families!$C:$R,2,FALSE)</f>
        <v>Cheshire West &amp; Chester</v>
      </c>
      <c r="AG128" s="15">
        <f t="shared" si="52"/>
        <v>100</v>
      </c>
      <c r="AH128" s="46">
        <f t="shared" si="64"/>
        <v>117</v>
      </c>
      <c r="AI128" s="5" t="str">
        <f>IF(L128="","",VLOOKUP($L128,classifications!$C:$J,8,FALSE))</f>
        <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100</v>
      </c>
    </row>
    <row r="129" spans="1:50">
      <c r="A129" s="55" t="str">
        <f>$D$1&amp;119</f>
        <v>UA119</v>
      </c>
      <c r="B129" s="56">
        <f>IF(ISERROR(VLOOKUP(A129,classifications!A:C,3,FALSE)),0,VLOOKUP(A129,classifications!A:C,3,FALSE))</f>
        <v>0</v>
      </c>
      <c r="C129" t="s">
        <v>82</v>
      </c>
      <c r="D129" t="str">
        <f>VLOOKUP($C129,classifications!$C:$J,4,FALSE)</f>
        <v>SD</v>
      </c>
      <c r="E129">
        <f>VLOOKUP(C129,classifications!C:K,9,FALSE)</f>
        <v>0</v>
      </c>
      <c r="F129">
        <f t="shared" si="43"/>
        <v>60</v>
      </c>
      <c r="G129" s="15"/>
      <c r="H129" s="41" t="str">
        <f t="shared" si="44"/>
        <v/>
      </c>
      <c r="I129" s="73" t="str">
        <f>IF(H129="","",IF($I$8="A",(RANK(H129,H$11:H$333,1)+COUNTIF(H$11:H129,H129)-1),(RANK(H129,H$11:H$333)+COUNTIF(H$11:H129,H129)-1)))</f>
        <v/>
      </c>
      <c r="J129" s="40"/>
      <c r="K129" s="35" t="str">
        <f t="shared" si="51"/>
        <v/>
      </c>
      <c r="L129" t="str">
        <f t="shared" si="45"/>
        <v/>
      </c>
      <c r="M129" s="109" t="str">
        <f t="shared" si="46"/>
        <v/>
      </c>
      <c r="N129" s="104" t="str">
        <f t="shared" si="55"/>
        <v/>
      </c>
      <c r="O129" s="89" t="str">
        <f t="shared" si="56"/>
        <v/>
      </c>
      <c r="P129" s="89" t="str">
        <f t="shared" si="57"/>
        <v/>
      </c>
      <c r="Q129" s="89" t="str">
        <f t="shared" si="58"/>
        <v/>
      </c>
      <c r="R129" s="85" t="str">
        <f t="shared" si="59"/>
        <v/>
      </c>
      <c r="S129" s="41" t="str">
        <f t="shared" si="60"/>
        <v/>
      </c>
      <c r="T129" s="166" t="str">
        <f>IF(L129="","",VLOOKUP(L129,classifications!C:K,9,FALSE))</f>
        <v/>
      </c>
      <c r="U129" s="167" t="str">
        <f t="shared" si="61"/>
        <v/>
      </c>
      <c r="V129" s="173" t="str">
        <f>IF(U129="","",IF($I$8="A",(RANK(U129,U$11:U$333)+COUNTIF(U$11:U129,U129)-1),(RANK(U129,U$11:U$333,1)+COUNTIF(U$11:U129,U129)-1)))</f>
        <v/>
      </c>
      <c r="W129" s="174"/>
      <c r="X129" s="5" t="str">
        <f>IF(L129="","",VLOOKUP($L129,classifications!$C:$J,6,FALSE))</f>
        <v/>
      </c>
      <c r="Y129" t="str">
        <f t="shared" si="62"/>
        <v/>
      </c>
      <c r="Z129" s="39" t="str">
        <f>IF(Y129="","",IF(I$8="A",(RANK(Y129,Y$11:Y$333,1)+COUNTIF(Y$11:Y129,Y129)-1),(RANK(Y129,Y$11:Y$333)+COUNTIF(Y$11:Y129,Y129)-1)))</f>
        <v/>
      </c>
      <c r="AA129" s="177" t="str">
        <f>IF(L129="","",VLOOKUP($L129,classifications!C:I,7,FALSE))</f>
        <v/>
      </c>
      <c r="AB129" s="173" t="str">
        <f t="shared" si="63"/>
        <v/>
      </c>
      <c r="AC129" s="173" t="str">
        <f>IF(AB129="","",IF($I$8="A",(RANK(AB129,AB$11:AB$333)+COUNTIF(AB$11:AB129,AB129)-1),(RANK(AB129,AB$11:AB$333,1)+COUNTIF(AB$11:AB129,AB129)-1)))</f>
        <v/>
      </c>
      <c r="AD129" s="173"/>
      <c r="AE129" s="45">
        <f>IF(I$8="A",(RANK(AG129,AG$11:AG$333,1)+COUNTIF(AG$11:AG129,AG129)-1),(RANK(AG129,AG$11:AG$333)+COUNTIF(AG$11:AG129,AG129)-1))</f>
        <v>118</v>
      </c>
      <c r="AF129" t="str">
        <f>VLOOKUP(Profile!$J$5,Families!$C:$R,2,FALSE)</f>
        <v>Cheshire West &amp; Chester</v>
      </c>
      <c r="AG129" s="15">
        <f t="shared" si="52"/>
        <v>100</v>
      </c>
      <c r="AH129" s="46">
        <f t="shared" si="64"/>
        <v>118</v>
      </c>
      <c r="AI129" s="5" t="str">
        <f>IF(L129="","",VLOOKUP($L129,classifications!$C:$J,8,FALSE))</f>
        <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60</v>
      </c>
    </row>
    <row r="130" spans="1:50">
      <c r="A130" s="55" t="str">
        <f>$D$1&amp;120</f>
        <v>UA120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f t="shared" si="44"/>
        <v>100</v>
      </c>
      <c r="I130" s="73">
        <f>IF(H130="","",IF($I$8="A",(RANK(H130,H$11:H$333,1)+COUNTIF(H$11:H130,H130)-1),(RANK(H130,H$11:H$333)+COUNTIF(H$11:H130,H130)-1)))</f>
        <v>8</v>
      </c>
      <c r="J130" s="40"/>
      <c r="K130" s="35" t="str">
        <f t="shared" si="51"/>
        <v/>
      </c>
      <c r="L130" t="str">
        <f t="shared" si="45"/>
        <v/>
      </c>
      <c r="M130" s="109" t="str">
        <f t="shared" si="46"/>
        <v/>
      </c>
      <c r="N130" s="104" t="str">
        <f t="shared" si="55"/>
        <v/>
      </c>
      <c r="O130" s="89" t="str">
        <f t="shared" si="56"/>
        <v/>
      </c>
      <c r="P130" s="89" t="str">
        <f t="shared" si="57"/>
        <v/>
      </c>
      <c r="Q130" s="89" t="str">
        <f t="shared" si="58"/>
        <v/>
      </c>
      <c r="R130" s="85" t="str">
        <f t="shared" si="59"/>
        <v/>
      </c>
      <c r="S130" s="41" t="str">
        <f t="shared" si="60"/>
        <v/>
      </c>
      <c r="T130" s="166" t="str">
        <f>IF(L130="","",VLOOKUP(L130,classifications!C:K,9,FALSE))</f>
        <v/>
      </c>
      <c r="U130" s="167" t="str">
        <f t="shared" si="61"/>
        <v/>
      </c>
      <c r="V130" s="173" t="str">
        <f>IF(U130="","",IF($I$8="A",(RANK(U130,U$11:U$333)+COUNTIF(U$11:U130,U130)-1),(RANK(U130,U$11:U$333,1)+COUNTIF(U$11:U130,U130)-1)))</f>
        <v/>
      </c>
      <c r="W130" s="174"/>
      <c r="X130" s="5" t="str">
        <f>IF(L130="","",VLOOKUP($L130,classifications!$C:$J,6,FALSE))</f>
        <v/>
      </c>
      <c r="Y130" t="str">
        <f t="shared" si="62"/>
        <v/>
      </c>
      <c r="Z130" s="39" t="str">
        <f>IF(Y130="","",IF(I$8="A",(RANK(Y130,Y$11:Y$333,1)+COUNTIF(Y$11:Y130,Y130)-1),(RANK(Y130,Y$11:Y$333)+COUNTIF(Y$11:Y130,Y130)-1)))</f>
        <v/>
      </c>
      <c r="AA130" s="177" t="str">
        <f>IF(L130="","",VLOOKUP($L130,classifications!C:I,7,FALSE))</f>
        <v/>
      </c>
      <c r="AB130" s="173" t="str">
        <f t="shared" si="63"/>
        <v/>
      </c>
      <c r="AC130" s="173" t="str">
        <f>IF(AB130="","",IF($I$8="A",(RANK(AB130,AB$11:AB$333)+COUNTIF(AB$11:AB130,AB130)-1),(RANK(AB130,AB$11:AB$333,1)+COUNTIF(AB$11:AB130,AB130)-1)))</f>
        <v/>
      </c>
      <c r="AD130" s="173"/>
      <c r="AE130" s="45">
        <f>IF(I$8="A",(RANK(AG130,AG$11:AG$333,1)+COUNTIF(AG$11:AG130,AG130)-1),(RANK(AG130,AG$11:AG$333)+COUNTIF(AG$11:AG130,AG130)-1))</f>
        <v>119</v>
      </c>
      <c r="AF130" t="str">
        <f>VLOOKUP(Profile!$J$5,Families!$C:$R,2,FALSE)</f>
        <v>Cheshire West &amp; Chester</v>
      </c>
      <c r="AG130" s="15">
        <f t="shared" si="52"/>
        <v>100</v>
      </c>
      <c r="AH130" s="46">
        <f t="shared" si="64"/>
        <v>119</v>
      </c>
      <c r="AI130" s="5" t="str">
        <f>IF(L130="","",VLOOKUP($L130,classifications!$C:$J,8,FALSE))</f>
        <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UA121</v>
      </c>
      <c r="B131" s="56">
        <f>IF(ISERROR(VLOOKUP(A131,classifications!A:C,3,FALSE)),0,VLOOKUP(A131,classifications!A:C,3,FALSE))</f>
        <v>0</v>
      </c>
      <c r="C131" t="s">
        <v>83</v>
      </c>
      <c r="D131" t="str">
        <f>VLOOKUP($C131,classifications!$C:$J,4,FALSE)</f>
        <v>SD</v>
      </c>
      <c r="E131">
        <f>VLOOKUP(C131,classifications!C:K,9,FALSE)</f>
        <v>0</v>
      </c>
      <c r="F131">
        <f t="shared" si="43"/>
        <v>80</v>
      </c>
      <c r="G131" s="15"/>
      <c r="H131" s="41" t="str">
        <f t="shared" si="44"/>
        <v/>
      </c>
      <c r="I131" s="73" t="str">
        <f>IF(H131="","",IF($I$8="A",(RANK(H131,H$11:H$333,1)+COUNTIF(H$11:H131,H131)-1),(RANK(H131,H$11:H$333)+COUNTIF(H$11:H131,H131)-1)))</f>
        <v/>
      </c>
      <c r="J131" s="40"/>
      <c r="K131" s="35" t="str">
        <f t="shared" si="51"/>
        <v/>
      </c>
      <c r="L131" t="str">
        <f t="shared" si="45"/>
        <v/>
      </c>
      <c r="M131" s="109" t="str">
        <f t="shared" si="46"/>
        <v/>
      </c>
      <c r="N131" s="104" t="str">
        <f t="shared" si="55"/>
        <v/>
      </c>
      <c r="O131" s="89" t="str">
        <f t="shared" si="56"/>
        <v/>
      </c>
      <c r="P131" s="89" t="str">
        <f t="shared" si="57"/>
        <v/>
      </c>
      <c r="Q131" s="89" t="str">
        <f t="shared" si="58"/>
        <v/>
      </c>
      <c r="R131" s="85" t="str">
        <f t="shared" si="59"/>
        <v/>
      </c>
      <c r="S131" s="41" t="str">
        <f t="shared" si="60"/>
        <v/>
      </c>
      <c r="T131" s="166" t="str">
        <f>IF(L131="","",VLOOKUP(L131,classifications!C:K,9,FALSE))</f>
        <v/>
      </c>
      <c r="U131" s="167" t="str">
        <f t="shared" si="61"/>
        <v/>
      </c>
      <c r="V131" s="173" t="str">
        <f>IF(U131="","",IF($I$8="A",(RANK(U131,U$11:U$333)+COUNTIF(U$11:U131,U131)-1),(RANK(U131,U$11:U$333,1)+COUNTIF(U$11:U131,U131)-1)))</f>
        <v/>
      </c>
      <c r="W131" s="174"/>
      <c r="X131" s="5" t="str">
        <f>IF(L131="","",VLOOKUP($L131,classifications!$C:$J,6,FALSE))</f>
        <v/>
      </c>
      <c r="Y131" t="str">
        <f t="shared" si="62"/>
        <v/>
      </c>
      <c r="Z131" s="39" t="str">
        <f>IF(Y131="","",IF(I$8="A",(RANK(Y131,Y$11:Y$333,1)+COUNTIF(Y$11:Y131,Y131)-1),(RANK(Y131,Y$11:Y$333)+COUNTIF(Y$11:Y131,Y131)-1)))</f>
        <v/>
      </c>
      <c r="AA131" s="177" t="str">
        <f>IF(L131="","",VLOOKUP($L131,classifications!C:I,7,FALSE))</f>
        <v/>
      </c>
      <c r="AB131" s="173" t="str">
        <f t="shared" si="63"/>
        <v/>
      </c>
      <c r="AC131" s="173" t="str">
        <f>IF(AB131="","",IF($I$8="A",(RANK(AB131,AB$11:AB$333)+COUNTIF(AB$11:AB131,AB131)-1),(RANK(AB131,AB$11:AB$333,1)+COUNTIF(AB$11:AB131,AB131)-1)))</f>
        <v/>
      </c>
      <c r="AD131" s="173"/>
      <c r="AE131" s="45">
        <f>IF(I$8="A",(RANK(AG131,AG$11:AG$333,1)+COUNTIF(AG$11:AG131,AG131)-1),(RANK(AG131,AG$11:AG$333)+COUNTIF(AG$11:AG131,AG131)-1))</f>
        <v>120</v>
      </c>
      <c r="AF131" t="str">
        <f>VLOOKUP(Profile!$J$5,Families!$C:$R,2,FALSE)</f>
        <v>Cheshire West &amp; Chester</v>
      </c>
      <c r="AG131" s="15">
        <f t="shared" si="52"/>
        <v>100</v>
      </c>
      <c r="AH131" s="46">
        <f t="shared" si="64"/>
        <v>120</v>
      </c>
      <c r="AI131" s="5" t="str">
        <f>IF(L131="","",VLOOKUP($L131,classifications!$C:$J,8,FALSE))</f>
        <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80</v>
      </c>
    </row>
    <row r="132" spans="1:50">
      <c r="A132" s="55" t="str">
        <f>$D$1&amp;122</f>
        <v>UA122</v>
      </c>
      <c r="B132" s="56">
        <f>IF(ISERROR(VLOOKUP(A132,classifications!A:C,3,FALSE)),0,VLOOKUP(A132,classifications!A:C,3,FALSE))</f>
        <v>0</v>
      </c>
      <c r="C132" t="s">
        <v>84</v>
      </c>
      <c r="D132" t="str">
        <f>VLOOKUP($C132,classifications!$C:$J,4,FALSE)</f>
        <v>SD</v>
      </c>
      <c r="E132">
        <f>VLOOKUP(C132,classifications!C:K,9,FALSE)</f>
        <v>0</v>
      </c>
      <c r="F132">
        <f t="shared" si="43"/>
        <v>50</v>
      </c>
      <c r="G132" s="15"/>
      <c r="H132" s="41" t="str">
        <f t="shared" si="44"/>
        <v/>
      </c>
      <c r="I132" s="73" t="str">
        <f>IF(H132="","",IF($I$8="A",(RANK(H132,H$11:H$333,1)+COUNTIF(H$11:H132,H132)-1),(RANK(H132,H$11:H$333)+COUNTIF(H$11:H132,H132)-1)))</f>
        <v/>
      </c>
      <c r="J132" s="40"/>
      <c r="K132" s="35" t="str">
        <f t="shared" si="51"/>
        <v/>
      </c>
      <c r="L132" t="str">
        <f t="shared" si="45"/>
        <v/>
      </c>
      <c r="M132" s="109" t="str">
        <f t="shared" si="46"/>
        <v/>
      </c>
      <c r="N132" s="104" t="str">
        <f t="shared" si="55"/>
        <v/>
      </c>
      <c r="O132" s="89" t="str">
        <f t="shared" si="56"/>
        <v/>
      </c>
      <c r="P132" s="89" t="str">
        <f t="shared" si="57"/>
        <v/>
      </c>
      <c r="Q132" s="89" t="str">
        <f t="shared" si="58"/>
        <v/>
      </c>
      <c r="R132" s="85" t="str">
        <f t="shared" si="59"/>
        <v/>
      </c>
      <c r="S132" s="41" t="str">
        <f t="shared" si="60"/>
        <v/>
      </c>
      <c r="T132" s="166" t="str">
        <f>IF(L132="","",VLOOKUP(L132,classifications!C:K,9,FALSE))</f>
        <v/>
      </c>
      <c r="U132" s="167" t="str">
        <f t="shared" si="61"/>
        <v/>
      </c>
      <c r="V132" s="173" t="str">
        <f>IF(U132="","",IF($I$8="A",(RANK(U132,U$11:U$333)+COUNTIF(U$11:U132,U132)-1),(RANK(U132,U$11:U$333,1)+COUNTIF(U$11:U132,U132)-1)))</f>
        <v/>
      </c>
      <c r="W132" s="174"/>
      <c r="X132" s="5" t="str">
        <f>IF(L132="","",VLOOKUP($L132,classifications!$C:$J,6,FALSE))</f>
        <v/>
      </c>
      <c r="Y132" t="str">
        <f t="shared" si="62"/>
        <v/>
      </c>
      <c r="Z132" s="39" t="str">
        <f>IF(Y132="","",IF(I$8="A",(RANK(Y132,Y$11:Y$333,1)+COUNTIF(Y$11:Y132,Y132)-1),(RANK(Y132,Y$11:Y$333)+COUNTIF(Y$11:Y132,Y132)-1)))</f>
        <v/>
      </c>
      <c r="AA132" s="177" t="str">
        <f>IF(L132="","",VLOOKUP($L132,classifications!C:I,7,FALSE))</f>
        <v/>
      </c>
      <c r="AB132" s="173" t="str">
        <f t="shared" si="63"/>
        <v/>
      </c>
      <c r="AC132" s="173" t="str">
        <f>IF(AB132="","",IF($I$8="A",(RANK(AB132,AB$11:AB$333)+COUNTIF(AB$11:AB132,AB132)-1),(RANK(AB132,AB$11:AB$333,1)+COUNTIF(AB$11:AB132,AB132)-1)))</f>
        <v/>
      </c>
      <c r="AD132" s="173"/>
      <c r="AE132" s="45">
        <f>IF(I$8="A",(RANK(AG132,AG$11:AG$333,1)+COUNTIF(AG$11:AG132,AG132)-1),(RANK(AG132,AG$11:AG$333)+COUNTIF(AG$11:AG132,AG132)-1))</f>
        <v>121</v>
      </c>
      <c r="AF132" t="str">
        <f>VLOOKUP(Profile!$J$5,Families!$C:$R,2,FALSE)</f>
        <v>Cheshire West &amp; Chester</v>
      </c>
      <c r="AG132" s="15">
        <f t="shared" si="52"/>
        <v>100</v>
      </c>
      <c r="AH132" s="46">
        <f t="shared" si="64"/>
        <v>121</v>
      </c>
      <c r="AI132" s="5" t="str">
        <f>IF(L132="","",VLOOKUP($L132,classifications!$C:$J,8,FALSE))</f>
        <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50</v>
      </c>
    </row>
    <row r="133" spans="1:50">
      <c r="A133" s="55" t="str">
        <f>$D$1&amp;123</f>
        <v>UA123</v>
      </c>
      <c r="B133" s="56">
        <f>IF(ISERROR(VLOOKUP(A133,classifications!A:C,3,FALSE)),0,VLOOKUP(A133,classifications!A:C,3,FALSE))</f>
        <v>0</v>
      </c>
      <c r="C133" t="s">
        <v>208</v>
      </c>
      <c r="D133" t="str">
        <f>VLOOKUP($C133,classifications!$C:$J,4,FALSE)</f>
        <v>L</v>
      </c>
      <c r="E133">
        <f>VLOOKUP(C133,classifications!C:K,9,FALSE)</f>
        <v>0</v>
      </c>
      <c r="F133">
        <f t="shared" si="43"/>
        <v>100</v>
      </c>
      <c r="G133" s="15"/>
      <c r="H133" s="41" t="str">
        <f t="shared" si="44"/>
        <v/>
      </c>
      <c r="I133" s="73" t="str">
        <f>IF(H133="","",IF($I$8="A",(RANK(H133,H$11:H$333,1)+COUNTIF(H$11:H133,H133)-1),(RANK(H133,H$11:H$333)+COUNTIF(H$11:H133,H133)-1)))</f>
        <v/>
      </c>
      <c r="J133" s="40"/>
      <c r="K133" s="35" t="str">
        <f t="shared" si="51"/>
        <v/>
      </c>
      <c r="L133" t="str">
        <f t="shared" si="45"/>
        <v/>
      </c>
      <c r="M133" s="109" t="str">
        <f t="shared" si="46"/>
        <v/>
      </c>
      <c r="N133" s="104" t="str">
        <f t="shared" si="55"/>
        <v/>
      </c>
      <c r="O133" s="89" t="str">
        <f t="shared" si="56"/>
        <v/>
      </c>
      <c r="P133" s="89" t="str">
        <f t="shared" si="57"/>
        <v/>
      </c>
      <c r="Q133" s="89" t="str">
        <f t="shared" si="58"/>
        <v/>
      </c>
      <c r="R133" s="85" t="str">
        <f t="shared" si="59"/>
        <v/>
      </c>
      <c r="S133" s="41" t="str">
        <f t="shared" si="60"/>
        <v/>
      </c>
      <c r="T133" s="166" t="str">
        <f>IF(L133="","",VLOOKUP(L133,classifications!C:K,9,FALSE))</f>
        <v/>
      </c>
      <c r="U133" s="167" t="str">
        <f t="shared" si="61"/>
        <v/>
      </c>
      <c r="V133" s="173" t="str">
        <f>IF(U133="","",IF($I$8="A",(RANK(U133,U$11:U$333)+COUNTIF(U$11:U133,U133)-1),(RANK(U133,U$11:U$333,1)+COUNTIF(U$11:U133,U133)-1)))</f>
        <v/>
      </c>
      <c r="W133" s="174"/>
      <c r="X133" s="5" t="str">
        <f>IF(L133="","",VLOOKUP($L133,classifications!$C:$J,6,FALSE))</f>
        <v/>
      </c>
      <c r="Y133" t="str">
        <f t="shared" si="62"/>
        <v/>
      </c>
      <c r="Z133" s="39" t="str">
        <f>IF(Y133="","",IF(I$8="A",(RANK(Y133,Y$11:Y$333,1)+COUNTIF(Y$11:Y133,Y133)-1),(RANK(Y133,Y$11:Y$333)+COUNTIF(Y$11:Y133,Y133)-1)))</f>
        <v/>
      </c>
      <c r="AA133" s="177" t="str">
        <f>IF(L133="","",VLOOKUP($L133,classifications!C:I,7,FALSE))</f>
        <v/>
      </c>
      <c r="AB133" s="173" t="str">
        <f t="shared" si="63"/>
        <v/>
      </c>
      <c r="AC133" s="173" t="str">
        <f>IF(AB133="","",IF($I$8="A",(RANK(AB133,AB$11:AB$333)+COUNTIF(AB$11:AB133,AB133)-1),(RANK(AB133,AB$11:AB$333,1)+COUNTIF(AB$11:AB133,AB133)-1)))</f>
        <v/>
      </c>
      <c r="AD133" s="173"/>
      <c r="AE133" s="45">
        <f>IF(I$8="A",(RANK(AG133,AG$11:AG$333,1)+COUNTIF(AG$11:AG133,AG133)-1),(RANK(AG133,AG$11:AG$333)+COUNTIF(AG$11:AG133,AG133)-1))</f>
        <v>122</v>
      </c>
      <c r="AF133" t="str">
        <f>VLOOKUP(Profile!$J$5,Families!$C:$R,2,FALSE)</f>
        <v>Cheshire West &amp; Chester</v>
      </c>
      <c r="AG133" s="15">
        <f t="shared" si="52"/>
        <v>100</v>
      </c>
      <c r="AH133" s="46">
        <f t="shared" si="64"/>
        <v>122</v>
      </c>
      <c r="AI133" s="5" t="str">
        <f>IF(L133="","",VLOOKUP($L133,classifications!$C:$J,8,FALSE))</f>
        <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100</v>
      </c>
    </row>
    <row r="134" spans="1:50">
      <c r="A134" s="55" t="str">
        <f>$D$1&amp;124</f>
        <v>UA124</v>
      </c>
      <c r="B134" s="56">
        <f>IF(ISERROR(VLOOKUP(A134,classifications!A:C,3,FALSE)),0,VLOOKUP(A134,classifications!A:C,3,FALSE))</f>
        <v>0</v>
      </c>
      <c r="C134" t="s">
        <v>817</v>
      </c>
      <c r="D134" t="str">
        <f>VLOOKUP($C134,classifications!$C:$J,4,FALSE)</f>
        <v>UA</v>
      </c>
      <c r="E134" t="str">
        <f>VLOOKUP(C134,classifications!C:K,9,FALSE)</f>
        <v>Sparse</v>
      </c>
      <c r="F134">
        <f t="shared" si="43"/>
        <v>92.307692307692307</v>
      </c>
      <c r="G134" s="15"/>
      <c r="H134" s="41">
        <f t="shared" si="44"/>
        <v>92.307692307692307</v>
      </c>
      <c r="I134" s="73">
        <f>IF(H134="","",IF($I$8="A",(RANK(H134,H$11:H$333,1)+COUNTIF(H$11:H134,H134)-1),(RANK(H134,H$11:H$333)+COUNTIF(H$11:H134,H134)-1)))</f>
        <v>28</v>
      </c>
      <c r="J134" s="40"/>
      <c r="K134" s="35" t="str">
        <f t="shared" si="51"/>
        <v/>
      </c>
      <c r="L134" t="str">
        <f t="shared" si="45"/>
        <v/>
      </c>
      <c r="M134" s="109" t="str">
        <f t="shared" si="46"/>
        <v/>
      </c>
      <c r="N134" s="104" t="str">
        <f t="shared" si="55"/>
        <v/>
      </c>
      <c r="O134" s="89" t="str">
        <f t="shared" si="56"/>
        <v/>
      </c>
      <c r="P134" s="89" t="str">
        <f t="shared" si="57"/>
        <v/>
      </c>
      <c r="Q134" s="89" t="str">
        <f t="shared" si="58"/>
        <v/>
      </c>
      <c r="R134" s="85" t="str">
        <f t="shared" si="59"/>
        <v/>
      </c>
      <c r="S134" s="41" t="str">
        <f t="shared" si="60"/>
        <v/>
      </c>
      <c r="T134" s="166" t="str">
        <f>IF(L134="","",VLOOKUP(L134,classifications!C:K,9,FALSE))</f>
        <v/>
      </c>
      <c r="U134" s="167" t="str">
        <f t="shared" si="61"/>
        <v/>
      </c>
      <c r="V134" s="173" t="str">
        <f>IF(U134="","",IF($I$8="A",(RANK(U134,U$11:U$333)+COUNTIF(U$11:U134,U134)-1),(RANK(U134,U$11:U$333,1)+COUNTIF(U$11:U134,U134)-1)))</f>
        <v/>
      </c>
      <c r="W134" s="174"/>
      <c r="X134" s="5" t="str">
        <f>IF(L134="","",VLOOKUP($L134,classifications!$C:$J,6,FALSE))</f>
        <v/>
      </c>
      <c r="Y134" t="str">
        <f t="shared" si="62"/>
        <v/>
      </c>
      <c r="Z134" s="39" t="str">
        <f>IF(Y134="","",IF(I$8="A",(RANK(Y134,Y$11:Y$333,1)+COUNTIF(Y$11:Y134,Y134)-1),(RANK(Y134,Y$11:Y$333)+COUNTIF(Y$11:Y134,Y134)-1)))</f>
        <v/>
      </c>
      <c r="AA134" s="177" t="str">
        <f>IF(L134="","",VLOOKUP($L134,classifications!C:I,7,FALSE))</f>
        <v/>
      </c>
      <c r="AB134" s="173" t="str">
        <f t="shared" si="63"/>
        <v/>
      </c>
      <c r="AC134" s="173" t="str">
        <f>IF(AB134="","",IF($I$8="A",(RANK(AB134,AB$11:AB$333)+COUNTIF(AB$11:AB134,AB134)-1),(RANK(AB134,AB$11:AB$333,1)+COUNTIF(AB$11:AB134,AB134)-1)))</f>
        <v/>
      </c>
      <c r="AD134" s="173"/>
      <c r="AE134" s="45">
        <f>IF(I$8="A",(RANK(AG134,AG$11:AG$333,1)+COUNTIF(AG$11:AG134,AG134)-1),(RANK(AG134,AG$11:AG$333)+COUNTIF(AG$11:AG134,AG134)-1))</f>
        <v>123</v>
      </c>
      <c r="AF134" t="str">
        <f>VLOOKUP(Profile!$J$5,Families!$C:$R,2,FALSE)</f>
        <v>Cheshire West &amp; Chester</v>
      </c>
      <c r="AG134" s="15">
        <f t="shared" si="52"/>
        <v>100</v>
      </c>
      <c r="AH134" s="46">
        <f t="shared" si="64"/>
        <v>123</v>
      </c>
      <c r="AI134" s="5" t="str">
        <f>IF(L134="","",VLOOKUP($L134,classifications!$C:$J,8,FALSE))</f>
        <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92.307692307692307</v>
      </c>
    </row>
    <row r="135" spans="1:50">
      <c r="A135" s="55" t="str">
        <f>$D$1&amp;125</f>
        <v>UA125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t="str">
        <f t="shared" si="51"/>
        <v/>
      </c>
      <c r="L135" t="str">
        <f t="shared" si="45"/>
        <v/>
      </c>
      <c r="M135" s="109" t="str">
        <f t="shared" si="46"/>
        <v/>
      </c>
      <c r="N135" s="104" t="str">
        <f t="shared" si="55"/>
        <v/>
      </c>
      <c r="O135" s="89" t="str">
        <f t="shared" si="56"/>
        <v/>
      </c>
      <c r="P135" s="89" t="str">
        <f t="shared" si="57"/>
        <v/>
      </c>
      <c r="Q135" s="89" t="str">
        <f t="shared" si="58"/>
        <v/>
      </c>
      <c r="R135" s="85" t="str">
        <f t="shared" si="59"/>
        <v/>
      </c>
      <c r="S135" s="41" t="str">
        <f t="shared" si="60"/>
        <v/>
      </c>
      <c r="T135" s="166" t="str">
        <f>IF(L135="","",VLOOKUP(L135,classifications!C:K,9,FALSE))</f>
        <v/>
      </c>
      <c r="U135" s="167" t="str">
        <f t="shared" si="61"/>
        <v/>
      </c>
      <c r="V135" s="173" t="str">
        <f>IF(U135="","",IF($I$8="A",(RANK(U135,U$11:U$333)+COUNTIF(U$11:U135,U135)-1),(RANK(U135,U$11:U$333,1)+COUNTIF(U$11:U135,U135)-1)))</f>
        <v/>
      </c>
      <c r="W135" s="174"/>
      <c r="X135" s="5" t="str">
        <f>IF(L135="","",VLOOKUP($L135,classifications!$C:$J,6,FALSE))</f>
        <v/>
      </c>
      <c r="Y135" t="str">
        <f t="shared" si="62"/>
        <v/>
      </c>
      <c r="Z135" s="39" t="str">
        <f>IF(Y135="","",IF(I$8="A",(RANK(Y135,Y$11:Y$333,1)+COUNTIF(Y$11:Y135,Y135)-1),(RANK(Y135,Y$11:Y$333)+COUNTIF(Y$11:Y135,Y135)-1)))</f>
        <v/>
      </c>
      <c r="AA135" s="177" t="str">
        <f>IF(L135="","",VLOOKUP($L135,classifications!C:I,7,FALSE))</f>
        <v/>
      </c>
      <c r="AB135" s="173" t="str">
        <f t="shared" si="63"/>
        <v/>
      </c>
      <c r="AC135" s="173" t="str">
        <f>IF(AB135="","",IF($I$8="A",(RANK(AB135,AB$11:AB$333)+COUNTIF(AB$11:AB135,AB135)-1),(RANK(AB135,AB$11:AB$333,1)+COUNTIF(AB$11:AB135,AB135)-1)))</f>
        <v/>
      </c>
      <c r="AD135" s="173"/>
      <c r="AE135" s="45">
        <f>IF(I$8="A",(RANK(AG135,AG$11:AG$333,1)+COUNTIF(AG$11:AG135,AG135)-1),(RANK(AG135,AG$11:AG$333)+COUNTIF(AG$11:AG135,AG135)-1))</f>
        <v>124</v>
      </c>
      <c r="AF135" t="str">
        <f>VLOOKUP(Profile!$J$5,Families!$C:$R,2,FALSE)</f>
        <v>Cheshire West &amp; Chester</v>
      </c>
      <c r="AG135" s="15">
        <f t="shared" si="52"/>
        <v>100</v>
      </c>
      <c r="AH135" s="46">
        <f t="shared" si="64"/>
        <v>124</v>
      </c>
      <c r="AI135" s="5" t="str">
        <f>IF(L135="","",VLOOKUP($L135,classifications!$C:$J,8,FALSE))</f>
        <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UA126</v>
      </c>
      <c r="B136" s="56">
        <f>IF(ISERROR(VLOOKUP(A136,classifications!A:C,3,FALSE)),0,VLOOKUP(A136,classifications!A:C,3,FALSE))</f>
        <v>0</v>
      </c>
      <c r="C136" t="s">
        <v>85</v>
      </c>
      <c r="D136" t="str">
        <f>VLOOKUP($C136,classifications!$C:$J,4,FALSE)</f>
        <v>SD</v>
      </c>
      <c r="E136">
        <f>VLOOKUP(C136,classifications!C:K,9,FALSE)</f>
        <v>0</v>
      </c>
      <c r="F136">
        <f t="shared" si="43"/>
        <v>100</v>
      </c>
      <c r="G136" s="15"/>
      <c r="H136" s="41" t="str">
        <f t="shared" si="44"/>
        <v/>
      </c>
      <c r="I136" s="73" t="str">
        <f>IF(H136="","",IF($I$8="A",(RANK(H136,H$11:H$333,1)+COUNTIF(H$11:H136,H136)-1),(RANK(H136,H$11:H$333)+COUNTIF(H$11:H136,H136)-1)))</f>
        <v/>
      </c>
      <c r="J136" s="40"/>
      <c r="K136" s="35" t="str">
        <f t="shared" si="51"/>
        <v/>
      </c>
      <c r="L136" t="str">
        <f t="shared" si="45"/>
        <v/>
      </c>
      <c r="M136" s="109" t="str">
        <f t="shared" si="46"/>
        <v/>
      </c>
      <c r="N136" s="104" t="str">
        <f t="shared" si="55"/>
        <v/>
      </c>
      <c r="O136" s="89" t="str">
        <f t="shared" si="56"/>
        <v/>
      </c>
      <c r="P136" s="89" t="str">
        <f t="shared" si="57"/>
        <v/>
      </c>
      <c r="Q136" s="89" t="str">
        <f t="shared" si="58"/>
        <v/>
      </c>
      <c r="R136" s="85" t="str">
        <f t="shared" si="59"/>
        <v/>
      </c>
      <c r="S136" s="41" t="str">
        <f t="shared" si="60"/>
        <v/>
      </c>
      <c r="T136" s="166" t="str">
        <f>IF(L136="","",VLOOKUP(L136,classifications!C:K,9,FALSE))</f>
        <v/>
      </c>
      <c r="U136" s="167" t="str">
        <f t="shared" si="61"/>
        <v/>
      </c>
      <c r="V136" s="173" t="str">
        <f>IF(U136="","",IF($I$8="A",(RANK(U136,U$11:U$333)+COUNTIF(U$11:U136,U136)-1),(RANK(U136,U$11:U$333,1)+COUNTIF(U$11:U136,U136)-1)))</f>
        <v/>
      </c>
      <c r="W136" s="174"/>
      <c r="X136" s="5" t="str">
        <f>IF(L136="","",VLOOKUP($L136,classifications!$C:$J,6,FALSE))</f>
        <v/>
      </c>
      <c r="Y136" t="str">
        <f t="shared" si="62"/>
        <v/>
      </c>
      <c r="Z136" s="39" t="str">
        <f>IF(Y136="","",IF(I$8="A",(RANK(Y136,Y$11:Y$333,1)+COUNTIF(Y$11:Y136,Y136)-1),(RANK(Y136,Y$11:Y$333)+COUNTIF(Y$11:Y136,Y136)-1)))</f>
        <v/>
      </c>
      <c r="AA136" s="177" t="str">
        <f>IF(L136="","",VLOOKUP($L136,classifications!C:I,7,FALSE))</f>
        <v/>
      </c>
      <c r="AB136" s="173" t="str">
        <f t="shared" si="63"/>
        <v/>
      </c>
      <c r="AC136" s="173" t="str">
        <f>IF(AB136="","",IF($I$8="A",(RANK(AB136,AB$11:AB$333)+COUNTIF(AB$11:AB136,AB136)-1),(RANK(AB136,AB$11:AB$333,1)+COUNTIF(AB$11:AB136,AB136)-1)))</f>
        <v/>
      </c>
      <c r="AD136" s="173"/>
      <c r="AE136" s="45">
        <f>IF(I$8="A",(RANK(AG136,AG$11:AG$333,1)+COUNTIF(AG$11:AG136,AG136)-1),(RANK(AG136,AG$11:AG$333)+COUNTIF(AG$11:AG136,AG136)-1))</f>
        <v>125</v>
      </c>
      <c r="AF136" t="str">
        <f>VLOOKUP(Profile!$J$5,Families!$C:$R,2,FALSE)</f>
        <v>Cheshire West &amp; Chester</v>
      </c>
      <c r="AG136" s="15">
        <f t="shared" si="52"/>
        <v>100</v>
      </c>
      <c r="AH136" s="46">
        <f t="shared" si="64"/>
        <v>125</v>
      </c>
      <c r="AI136" s="5" t="str">
        <f>IF(L136="","",VLOOKUP($L136,classifications!$C:$J,8,FALSE))</f>
        <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100</v>
      </c>
    </row>
    <row r="137" spans="1:50">
      <c r="A137" s="55" t="str">
        <f>$D$1&amp;127</f>
        <v>UA127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t="str">
        <f t="shared" si="44"/>
        <v/>
      </c>
      <c r="I137" s="73" t="str">
        <f>IF(H137="","",IF($I$8="A",(RANK(H137,H$11:H$333,1)+COUNTIF(H$11:H137,H137)-1),(RANK(H137,H$11:H$333)+COUNTIF(H$11:H137,H137)-1)))</f>
        <v/>
      </c>
      <c r="J137" s="40"/>
      <c r="K137" s="35" t="str">
        <f t="shared" si="51"/>
        <v/>
      </c>
      <c r="L137" t="str">
        <f t="shared" si="45"/>
        <v/>
      </c>
      <c r="M137" s="109" t="str">
        <f t="shared" si="46"/>
        <v/>
      </c>
      <c r="N137" s="104" t="str">
        <f t="shared" si="55"/>
        <v/>
      </c>
      <c r="O137" s="89" t="str">
        <f t="shared" si="56"/>
        <v/>
      </c>
      <c r="P137" s="89" t="str">
        <f t="shared" si="57"/>
        <v/>
      </c>
      <c r="Q137" s="89" t="str">
        <f t="shared" si="58"/>
        <v/>
      </c>
      <c r="R137" s="85" t="str">
        <f t="shared" si="59"/>
        <v/>
      </c>
      <c r="S137" s="41" t="str">
        <f t="shared" si="60"/>
        <v/>
      </c>
      <c r="T137" s="166" t="str">
        <f>IF(L137="","",VLOOKUP(L137,classifications!C:K,9,FALSE))</f>
        <v/>
      </c>
      <c r="U137" s="167" t="str">
        <f t="shared" si="61"/>
        <v/>
      </c>
      <c r="V137" s="173" t="str">
        <f>IF(U137="","",IF($I$8="A",(RANK(U137,U$11:U$333)+COUNTIF(U$11:U137,U137)-1),(RANK(U137,U$11:U$333,1)+COUNTIF(U$11:U137,U137)-1)))</f>
        <v/>
      </c>
      <c r="W137" s="174"/>
      <c r="X137" s="5" t="str">
        <f>IF(L137="","",VLOOKUP($L137,classifications!$C:$J,6,FALSE))</f>
        <v/>
      </c>
      <c r="Y137" t="str">
        <f t="shared" si="62"/>
        <v/>
      </c>
      <c r="Z137" s="39" t="str">
        <f>IF(Y137="","",IF(I$8="A",(RANK(Y137,Y$11:Y$333,1)+COUNTIF(Y$11:Y137,Y137)-1),(RANK(Y137,Y$11:Y$333)+COUNTIF(Y$11:Y137,Y137)-1)))</f>
        <v/>
      </c>
      <c r="AA137" s="177" t="str">
        <f>IF(L137="","",VLOOKUP($L137,classifications!C:I,7,FALSE))</f>
        <v/>
      </c>
      <c r="AB137" s="173" t="str">
        <f t="shared" si="63"/>
        <v/>
      </c>
      <c r="AC137" s="173" t="str">
        <f>IF(AB137="","",IF($I$8="A",(RANK(AB137,AB$11:AB$333)+COUNTIF(AB$11:AB137,AB137)-1),(RANK(AB137,AB$11:AB$333,1)+COUNTIF(AB$11:AB137,AB137)-1)))</f>
        <v/>
      </c>
      <c r="AD137" s="173"/>
      <c r="AE137" s="45">
        <f>IF(I$8="A",(RANK(AG137,AG$11:AG$333,1)+COUNTIF(AG$11:AG137,AG137)-1),(RANK(AG137,AG$11:AG$333)+COUNTIF(AG$11:AG137,AG137)-1))</f>
        <v>126</v>
      </c>
      <c r="AF137" t="str">
        <f>VLOOKUP(Profile!$J$5,Families!$C:$R,2,FALSE)</f>
        <v>Cheshire West &amp; Chester</v>
      </c>
      <c r="AG137" s="15">
        <f t="shared" si="52"/>
        <v>100</v>
      </c>
      <c r="AH137" s="46">
        <f t="shared" si="64"/>
        <v>126</v>
      </c>
      <c r="AI137" s="5" t="str">
        <f>IF(L137="","",VLOOKUP($L137,classifications!$C:$J,8,FALSE))</f>
        <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UA128</v>
      </c>
      <c r="B138" s="56">
        <f>IF(ISERROR(VLOOKUP(A138,classifications!A:C,3,FALSE)),0,VLOOKUP(A138,classifications!A:C,3,FALSE))</f>
        <v>0</v>
      </c>
      <c r="C138" t="s">
        <v>209</v>
      </c>
      <c r="D138" t="str">
        <f>VLOOKUP($C138,classifications!$C:$J,4,FALSE)</f>
        <v>L</v>
      </c>
      <c r="E138">
        <f>VLOOKUP(C138,classifications!C:K,9,FALSE)</f>
        <v>0</v>
      </c>
      <c r="F138">
        <f t="shared" si="43"/>
        <v>100</v>
      </c>
      <c r="G138" s="15"/>
      <c r="H138" s="41" t="str">
        <f t="shared" si="44"/>
        <v/>
      </c>
      <c r="I138" s="73" t="str">
        <f>IF(H138="","",IF($I$8="A",(RANK(H138,H$11:H$333,1)+COUNTIF(H$11:H138,H138)-1),(RANK(H138,H$11:H$333)+COUNTIF(H$11:H138,H138)-1)))</f>
        <v/>
      </c>
      <c r="J138" s="40"/>
      <c r="K138" s="35" t="str">
        <f t="shared" si="51"/>
        <v/>
      </c>
      <c r="L138" t="str">
        <f t="shared" si="45"/>
        <v/>
      </c>
      <c r="M138" s="109" t="str">
        <f t="shared" si="46"/>
        <v/>
      </c>
      <c r="N138" s="104" t="str">
        <f t="shared" si="55"/>
        <v/>
      </c>
      <c r="O138" s="89" t="str">
        <f t="shared" si="56"/>
        <v/>
      </c>
      <c r="P138" s="89" t="str">
        <f t="shared" si="57"/>
        <v/>
      </c>
      <c r="Q138" s="89" t="str">
        <f t="shared" si="58"/>
        <v/>
      </c>
      <c r="R138" s="85" t="str">
        <f t="shared" si="59"/>
        <v/>
      </c>
      <c r="S138" s="41" t="str">
        <f t="shared" si="60"/>
        <v/>
      </c>
      <c r="T138" s="166" t="str">
        <f>IF(L138="","",VLOOKUP(L138,classifications!C:K,9,FALSE))</f>
        <v/>
      </c>
      <c r="U138" s="167" t="str">
        <f t="shared" si="61"/>
        <v/>
      </c>
      <c r="V138" s="173" t="str">
        <f>IF(U138="","",IF($I$8="A",(RANK(U138,U$11:U$333)+COUNTIF(U$11:U138,U138)-1),(RANK(U138,U$11:U$333,1)+COUNTIF(U$11:U138,U138)-1)))</f>
        <v/>
      </c>
      <c r="W138" s="174"/>
      <c r="X138" s="5" t="str">
        <f>IF(L138="","",VLOOKUP($L138,classifications!$C:$J,6,FALSE))</f>
        <v/>
      </c>
      <c r="Y138" t="str">
        <f t="shared" si="62"/>
        <v/>
      </c>
      <c r="Z138" s="39" t="str">
        <f>IF(Y138="","",IF(I$8="A",(RANK(Y138,Y$11:Y$333,1)+COUNTIF(Y$11:Y138,Y138)-1),(RANK(Y138,Y$11:Y$333)+COUNTIF(Y$11:Y138,Y138)-1)))</f>
        <v/>
      </c>
      <c r="AA138" s="177" t="str">
        <f>IF(L138="","",VLOOKUP($L138,classifications!C:I,7,FALSE))</f>
        <v/>
      </c>
      <c r="AB138" s="173" t="str">
        <f t="shared" si="63"/>
        <v/>
      </c>
      <c r="AC138" s="173" t="str">
        <f>IF(AB138="","",IF($I$8="A",(RANK(AB138,AB$11:AB$333)+COUNTIF(AB$11:AB138,AB138)-1),(RANK(AB138,AB$11:AB$333,1)+COUNTIF(AB$11:AB138,AB138)-1)))</f>
        <v/>
      </c>
      <c r="AD138" s="173"/>
      <c r="AE138" s="45">
        <f>IF(I$8="A",(RANK(AG138,AG$11:AG$333,1)+COUNTIF(AG$11:AG138,AG138)-1),(RANK(AG138,AG$11:AG$333)+COUNTIF(AG$11:AG138,AG138)-1))</f>
        <v>127</v>
      </c>
      <c r="AF138" t="str">
        <f>VLOOKUP(Profile!$J$5,Families!$C:$R,2,FALSE)</f>
        <v>Cheshire West &amp; Chester</v>
      </c>
      <c r="AG138" s="15">
        <f t="shared" si="52"/>
        <v>100</v>
      </c>
      <c r="AH138" s="46">
        <f t="shared" si="64"/>
        <v>127</v>
      </c>
      <c r="AI138" s="5" t="str">
        <f>IF(L138="","",VLOOKUP($L138,classifications!$C:$J,8,FALSE))</f>
        <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100</v>
      </c>
    </row>
    <row r="139" spans="1:50">
      <c r="A139" s="55" t="str">
        <f>$D$1&amp;129</f>
        <v>UA129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78.571428571428569</v>
      </c>
      <c r="G139" s="15"/>
      <c r="H139" s="41" t="str">
        <f t="shared" ref="H139:H202" si="68">IF(D139=$D$1,HLOOKUP($D$6,$AX$10:$ZZ$337,ROW()-9,FALSE),"")</f>
        <v/>
      </c>
      <c r="I139" s="73" t="str">
        <f>IF(H139="","",IF($I$8="A",(RANK(H139,H$11:H$333,1)+COUNTIF(H$11:H139,H139)-1),(RANK(H139,H$11:H$333)+COUNTIF(H$11:H139,H139)-1)))</f>
        <v/>
      </c>
      <c r="J139" s="40"/>
      <c r="K139" s="35" t="str">
        <f t="shared" si="51"/>
        <v/>
      </c>
      <c r="L139" t="str">
        <f t="shared" ref="L139:L202" si="69">IF(K139="","",INDEX(C$11:C$327,MATCH(K139,I$11:I$333,0)))</f>
        <v/>
      </c>
      <c r="M139" s="109" t="str">
        <f t="shared" ref="M139:M202" si="70">IF(L139="","",IF(VLOOKUP(L139,C:D,2,FALSE)=$F$3,VLOOKUP(L139,C:H,6,FALSE),""))</f>
        <v/>
      </c>
      <c r="N139" s="104" t="str">
        <f t="shared" si="55"/>
        <v/>
      </c>
      <c r="O139" s="89" t="str">
        <f t="shared" si="56"/>
        <v/>
      </c>
      <c r="P139" s="89" t="str">
        <f t="shared" si="57"/>
        <v/>
      </c>
      <c r="Q139" s="89" t="str">
        <f t="shared" si="58"/>
        <v/>
      </c>
      <c r="R139" s="85" t="str">
        <f t="shared" si="59"/>
        <v/>
      </c>
      <c r="S139" s="41" t="str">
        <f t="shared" si="60"/>
        <v/>
      </c>
      <c r="T139" s="166" t="str">
        <f>IF(L139="","",VLOOKUP(L139,classifications!C:K,9,FALSE))</f>
        <v/>
      </c>
      <c r="U139" s="167" t="str">
        <f t="shared" si="61"/>
        <v/>
      </c>
      <c r="V139" s="173" t="str">
        <f>IF(U139="","",IF($I$8="A",(RANK(U139,U$11:U$333)+COUNTIF(U$11:U139,U139)-1),(RANK(U139,U$11:U$333,1)+COUNTIF(U$11:U139,U139)-1)))</f>
        <v/>
      </c>
      <c r="W139" s="174"/>
      <c r="X139" s="5" t="str">
        <f>IF(L139="","",VLOOKUP($L139,classifications!$C:$J,6,FALSE))</f>
        <v/>
      </c>
      <c r="Y139" t="str">
        <f t="shared" si="62"/>
        <v/>
      </c>
      <c r="Z139" s="39" t="str">
        <f>IF(Y139="","",IF(I$8="A",(RANK(Y139,Y$11:Y$333,1)+COUNTIF(Y$11:Y139,Y139)-1),(RANK(Y139,Y$11:Y$333)+COUNTIF(Y$11:Y139,Y139)-1)))</f>
        <v/>
      </c>
      <c r="AA139" s="177" t="str">
        <f>IF(L139="","",VLOOKUP($L139,classifications!C:I,7,FALSE))</f>
        <v/>
      </c>
      <c r="AB139" s="173" t="str">
        <f t="shared" si="63"/>
        <v/>
      </c>
      <c r="AC139" s="173" t="str">
        <f>IF(AB139="","",IF($I$8="A",(RANK(AB139,AB$11:AB$333)+COUNTIF(AB$11:AB139,AB139)-1),(RANK(AB139,AB$11:AB$333,1)+COUNTIF(AB$11:AB139,AB139)-1)))</f>
        <v/>
      </c>
      <c r="AD139" s="173"/>
      <c r="AE139" s="45">
        <f>IF(I$8="A",(RANK(AG139,AG$11:AG$333,1)+COUNTIF(AG$11:AG139,AG139)-1),(RANK(AG139,AG$11:AG$333)+COUNTIF(AG$11:AG139,AG139)-1))</f>
        <v>128</v>
      </c>
      <c r="AF139" t="str">
        <f>VLOOKUP(Profile!$J$5,Families!$C:$R,2,FALSE)</f>
        <v>Cheshire West &amp; Chester</v>
      </c>
      <c r="AG139" s="15">
        <f t="shared" si="52"/>
        <v>100</v>
      </c>
      <c r="AH139" s="46">
        <f t="shared" si="64"/>
        <v>128</v>
      </c>
      <c r="AI139" s="5" t="str">
        <f>IF(L139="","",VLOOKUP($L139,classifications!$C:$J,8,FALSE))</f>
        <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78.571428571428569</v>
      </c>
    </row>
    <row r="140" spans="1:50">
      <c r="A140" s="55" t="str">
        <f>$D$1&amp;130</f>
        <v>UA130</v>
      </c>
      <c r="B140" s="56">
        <f>IF(ISERROR(VLOOKUP(A140,classifications!A:C,3,FALSE)),0,VLOOKUP(A140,classifications!A:C,3,FALSE))</f>
        <v>0</v>
      </c>
      <c r="C140" t="s">
        <v>87</v>
      </c>
      <c r="D140" t="str">
        <f>VLOOKUP($C140,classifications!$C:$J,4,FALSE)</f>
        <v>SD</v>
      </c>
      <c r="E140">
        <f>VLOOKUP(C140,classifications!C:K,9,FALSE)</f>
        <v>0</v>
      </c>
      <c r="F140">
        <f t="shared" si="67"/>
        <v>100</v>
      </c>
      <c r="G140" s="15"/>
      <c r="H140" s="41" t="str">
        <f t="shared" si="68"/>
        <v/>
      </c>
      <c r="I140" s="73" t="str">
        <f>IF(H140="","",IF($I$8="A",(RANK(H140,H$11:H$333,1)+COUNTIF(H$11:H140,H140)-1),(RANK(H140,H$11:H$333)+COUNTIF(H$11:H140,H140)-1)))</f>
        <v/>
      </c>
      <c r="J140" s="40"/>
      <c r="K140" s="35" t="str">
        <f t="shared" ref="K140:K203" si="75">IF(K139="","",IF(K139+1&gt;(COUNT(H$11:H$333)),"",K139+1))</f>
        <v/>
      </c>
      <c r="L140" t="str">
        <f t="shared" si="69"/>
        <v/>
      </c>
      <c r="M140" s="109" t="str">
        <f t="shared" si="70"/>
        <v/>
      </c>
      <c r="N140" s="104" t="str">
        <f t="shared" si="55"/>
        <v/>
      </c>
      <c r="O140" s="89" t="str">
        <f t="shared" si="56"/>
        <v/>
      </c>
      <c r="P140" s="89" t="str">
        <f t="shared" si="57"/>
        <v/>
      </c>
      <c r="Q140" s="89" t="str">
        <f t="shared" si="58"/>
        <v/>
      </c>
      <c r="R140" s="85" t="str">
        <f t="shared" si="59"/>
        <v/>
      </c>
      <c r="S140" s="41" t="str">
        <f t="shared" si="60"/>
        <v/>
      </c>
      <c r="T140" s="166" t="str">
        <f>IF(L140="","",VLOOKUP(L140,classifications!C:K,9,FALSE))</f>
        <v/>
      </c>
      <c r="U140" s="167" t="str">
        <f t="shared" si="61"/>
        <v/>
      </c>
      <c r="V140" s="173" t="str">
        <f>IF(U140="","",IF($I$8="A",(RANK(U140,U$11:U$333)+COUNTIF(U$11:U140,U140)-1),(RANK(U140,U$11:U$333,1)+COUNTIF(U$11:U140,U140)-1)))</f>
        <v/>
      </c>
      <c r="W140" s="174"/>
      <c r="X140" s="5" t="str">
        <f>IF(L140="","",VLOOKUP($L140,classifications!$C:$J,6,FALSE))</f>
        <v/>
      </c>
      <c r="Y140" t="str">
        <f t="shared" si="62"/>
        <v/>
      </c>
      <c r="Z140" s="39" t="str">
        <f>IF(Y140="","",IF(I$8="A",(RANK(Y140,Y$11:Y$333,1)+COUNTIF(Y$11:Y140,Y140)-1),(RANK(Y140,Y$11:Y$333)+COUNTIF(Y$11:Y140,Y140)-1)))</f>
        <v/>
      </c>
      <c r="AA140" s="177" t="str">
        <f>IF(L140="","",VLOOKUP($L140,classifications!C:I,7,FALSE))</f>
        <v/>
      </c>
      <c r="AB140" s="173" t="str">
        <f t="shared" si="63"/>
        <v/>
      </c>
      <c r="AC140" s="173" t="str">
        <f>IF(AB140="","",IF($I$8="A",(RANK(AB140,AB$11:AB$333)+COUNTIF(AB$11:AB140,AB140)-1),(RANK(AB140,AB$11:AB$333,1)+COUNTIF(AB$11:AB140,AB140)-1)))</f>
        <v/>
      </c>
      <c r="AD140" s="173"/>
      <c r="AE140" s="45">
        <f>IF(I$8="A",(RANK(AG140,AG$11:AG$333,1)+COUNTIF(AG$11:AG140,AG140)-1),(RANK(AG140,AG$11:AG$333)+COUNTIF(AG$11:AG140,AG140)-1))</f>
        <v>129</v>
      </c>
      <c r="AF140" t="str">
        <f>VLOOKUP(Profile!$J$5,Families!$C:$R,2,FALSE)</f>
        <v>Cheshire West &amp; Chester</v>
      </c>
      <c r="AG140" s="15">
        <f t="shared" ref="AG140:AG203" si="76">VLOOKUP(AF140,$C$11:$H$333,4,FALSE)</f>
        <v>100</v>
      </c>
      <c r="AH140" s="46">
        <f t="shared" si="64"/>
        <v>129</v>
      </c>
      <c r="AI140" s="5" t="str">
        <f>IF(L140="","",VLOOKUP($L140,classifications!$C:$J,8,FALSE))</f>
        <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100</v>
      </c>
    </row>
    <row r="141" spans="1:50">
      <c r="A141" s="55" t="str">
        <f>$D$1&amp;131</f>
        <v>UA131</v>
      </c>
      <c r="B141" s="56">
        <f>IF(ISERROR(VLOOKUP(A141,classifications!A:C,3,FALSE)),0,VLOOKUP(A141,classifications!A:C,3,FALSE))</f>
        <v>0</v>
      </c>
      <c r="C141" t="s">
        <v>210</v>
      </c>
      <c r="D141" t="str">
        <f>VLOOKUP($C141,classifications!$C:$J,4,FALSE)</f>
        <v>L</v>
      </c>
      <c r="E141">
        <f>VLOOKUP(C141,classifications!C:K,9,FALSE)</f>
        <v>0</v>
      </c>
      <c r="F141">
        <f t="shared" si="67"/>
        <v>100</v>
      </c>
      <c r="G141" s="15"/>
      <c r="H141" s="41" t="str">
        <f t="shared" si="68"/>
        <v/>
      </c>
      <c r="I141" s="73" t="str">
        <f>IF(H141="","",IF($I$8="A",(RANK(H141,H$11:H$333,1)+COUNTIF(H$11:H141,H141)-1),(RANK(H141,H$11:H$333)+COUNTIF(H$11:H141,H141)-1)))</f>
        <v/>
      </c>
      <c r="J141" s="40"/>
      <c r="K141" s="35" t="str">
        <f t="shared" si="75"/>
        <v/>
      </c>
      <c r="L141" t="str">
        <f t="shared" si="69"/>
        <v/>
      </c>
      <c r="M141" s="109" t="str">
        <f t="shared" si="70"/>
        <v/>
      </c>
      <c r="N141" s="104" t="str">
        <f t="shared" si="55"/>
        <v/>
      </c>
      <c r="O141" s="89" t="str">
        <f t="shared" si="56"/>
        <v/>
      </c>
      <c r="P141" s="89" t="str">
        <f t="shared" si="57"/>
        <v/>
      </c>
      <c r="Q141" s="89" t="str">
        <f t="shared" si="58"/>
        <v/>
      </c>
      <c r="R141" s="85" t="str">
        <f t="shared" si="59"/>
        <v/>
      </c>
      <c r="S141" s="41" t="str">
        <f t="shared" si="60"/>
        <v/>
      </c>
      <c r="T141" s="166" t="str">
        <f>IF(L141="","",VLOOKUP(L141,classifications!C:K,9,FALSE))</f>
        <v/>
      </c>
      <c r="U141" s="167" t="str">
        <f t="shared" si="61"/>
        <v/>
      </c>
      <c r="V141" s="173" t="str">
        <f>IF(U141="","",IF($I$8="A",(RANK(U141,U$11:U$333)+COUNTIF(U$11:U141,U141)-1),(RANK(U141,U$11:U$333,1)+COUNTIF(U$11:U141,U141)-1)))</f>
        <v/>
      </c>
      <c r="W141" s="174"/>
      <c r="X141" s="5" t="str">
        <f>IF(L141="","",VLOOKUP($L141,classifications!$C:$J,6,FALSE))</f>
        <v/>
      </c>
      <c r="Y141" t="str">
        <f t="shared" si="62"/>
        <v/>
      </c>
      <c r="Z141" s="39" t="str">
        <f>IF(Y141="","",IF(I$8="A",(RANK(Y141,Y$11:Y$333,1)+COUNTIF(Y$11:Y141,Y141)-1),(RANK(Y141,Y$11:Y$333)+COUNTIF(Y$11:Y141,Y141)-1)))</f>
        <v/>
      </c>
      <c r="AA141" s="177" t="str">
        <f>IF(L141="","",VLOOKUP($L141,classifications!C:I,7,FALSE))</f>
        <v/>
      </c>
      <c r="AB141" s="173" t="str">
        <f t="shared" si="63"/>
        <v/>
      </c>
      <c r="AC141" s="173" t="str">
        <f>IF(AB141="","",IF($I$8="A",(RANK(AB141,AB$11:AB$333)+COUNTIF(AB$11:AB141,AB141)-1),(RANK(AB141,AB$11:AB$333,1)+COUNTIF(AB$11:AB141,AB141)-1)))</f>
        <v/>
      </c>
      <c r="AD141" s="173"/>
      <c r="AE141" s="45">
        <f>IF(I$8="A",(RANK(AG141,AG$11:AG$333,1)+COUNTIF(AG$11:AG141,AG141)-1),(RANK(AG141,AG$11:AG$333)+COUNTIF(AG$11:AG141,AG141)-1))</f>
        <v>130</v>
      </c>
      <c r="AF141" t="str">
        <f>VLOOKUP(Profile!$J$5,Families!$C:$R,2,FALSE)</f>
        <v>Cheshire West &amp; Chester</v>
      </c>
      <c r="AG141" s="15">
        <f t="shared" si="76"/>
        <v>100</v>
      </c>
      <c r="AH141" s="46">
        <f t="shared" si="64"/>
        <v>130</v>
      </c>
      <c r="AI141" s="5" t="str">
        <f>IF(L141="","",VLOOKUP($L141,classifications!$C:$J,8,FALSE))</f>
        <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100</v>
      </c>
    </row>
    <row r="142" spans="1:50">
      <c r="A142" s="55" t="str">
        <f>$D$1&amp;132</f>
        <v>UA132</v>
      </c>
      <c r="B142" s="56">
        <f>IF(ISERROR(VLOOKUP(A142,classifications!A:C,3,FALSE)),0,VLOOKUP(A142,classifications!A:C,3,FALSE))</f>
        <v>0</v>
      </c>
      <c r="C142" t="s">
        <v>88</v>
      </c>
      <c r="D142" t="str">
        <f>VLOOKUP($C142,classifications!$C:$J,4,FALSE)</f>
        <v>SD</v>
      </c>
      <c r="E142">
        <f>VLOOKUP(C142,classifications!C:K,9,FALSE)</f>
        <v>0</v>
      </c>
      <c r="F142">
        <f t="shared" si="67"/>
        <v>75</v>
      </c>
      <c r="G142" s="15"/>
      <c r="H142" s="41" t="str">
        <f t="shared" si="68"/>
        <v/>
      </c>
      <c r="I142" s="73" t="str">
        <f>IF(H142="","",IF($I$8="A",(RANK(H142,H$11:H$333,1)+COUNTIF(H$11:H142,H142)-1),(RANK(H142,H$11:H$333)+COUNTIF(H$11:H142,H142)-1)))</f>
        <v/>
      </c>
      <c r="J142" s="40"/>
      <c r="K142" s="35" t="str">
        <f t="shared" si="75"/>
        <v/>
      </c>
      <c r="L142" t="str">
        <f t="shared" si="69"/>
        <v/>
      </c>
      <c r="M142" s="109" t="str">
        <f t="shared" si="70"/>
        <v/>
      </c>
      <c r="N142" s="104" t="str">
        <f t="shared" si="55"/>
        <v/>
      </c>
      <c r="O142" s="89" t="str">
        <f t="shared" si="56"/>
        <v/>
      </c>
      <c r="P142" s="89" t="str">
        <f t="shared" si="57"/>
        <v/>
      </c>
      <c r="Q142" s="89" t="str">
        <f t="shared" si="58"/>
        <v/>
      </c>
      <c r="R142" s="85" t="str">
        <f t="shared" si="59"/>
        <v/>
      </c>
      <c r="S142" s="41" t="str">
        <f t="shared" si="60"/>
        <v/>
      </c>
      <c r="T142" s="166" t="str">
        <f>IF(L142="","",VLOOKUP(L142,classifications!C:K,9,FALSE))</f>
        <v/>
      </c>
      <c r="U142" s="167" t="str">
        <f t="shared" si="61"/>
        <v/>
      </c>
      <c r="V142" s="173" t="str">
        <f>IF(U142="","",IF($I$8="A",(RANK(U142,U$11:U$333)+COUNTIF(U$11:U142,U142)-1),(RANK(U142,U$11:U$333,1)+COUNTIF(U$11:U142,U142)-1)))</f>
        <v/>
      </c>
      <c r="W142" s="174"/>
      <c r="X142" s="5" t="str">
        <f>IF(L142="","",VLOOKUP($L142,classifications!$C:$J,6,FALSE))</f>
        <v/>
      </c>
      <c r="Y142" t="str">
        <f t="shared" si="62"/>
        <v/>
      </c>
      <c r="Z142" s="39" t="str">
        <f>IF(Y142="","",IF(I$8="A",(RANK(Y142,Y$11:Y$333,1)+COUNTIF(Y$11:Y142,Y142)-1),(RANK(Y142,Y$11:Y$333)+COUNTIF(Y$11:Y142,Y142)-1)))</f>
        <v/>
      </c>
      <c r="AA142" s="177" t="str">
        <f>IF(L142="","",VLOOKUP($L142,classifications!C:I,7,FALSE))</f>
        <v/>
      </c>
      <c r="AB142" s="173" t="str">
        <f t="shared" si="63"/>
        <v/>
      </c>
      <c r="AC142" s="173" t="str">
        <f>IF(AB142="","",IF($I$8="A",(RANK(AB142,AB$11:AB$333)+COUNTIF(AB$11:AB142,AB142)-1),(RANK(AB142,AB$11:AB$333,1)+COUNTIF(AB$11:AB142,AB142)-1)))</f>
        <v/>
      </c>
      <c r="AD142" s="173"/>
      <c r="AE142" s="45">
        <f>IF(I$8="A",(RANK(AG142,AG$11:AG$333,1)+COUNTIF(AG$11:AG142,AG142)-1),(RANK(AG142,AG$11:AG$333)+COUNTIF(AG$11:AG142,AG142)-1))</f>
        <v>131</v>
      </c>
      <c r="AF142" t="str">
        <f>VLOOKUP(Profile!$J$5,Families!$C:$R,2,FALSE)</f>
        <v>Cheshire West &amp; Chester</v>
      </c>
      <c r="AG142" s="15">
        <f t="shared" si="76"/>
        <v>100</v>
      </c>
      <c r="AH142" s="46">
        <f t="shared" si="64"/>
        <v>131</v>
      </c>
      <c r="AI142" s="5" t="str">
        <f>IF(L142="","",VLOOKUP($L142,classifications!$C:$J,8,FALSE))</f>
        <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75</v>
      </c>
    </row>
    <row r="143" spans="1:50">
      <c r="A143" s="55" t="str">
        <f>$D$1&amp;133</f>
        <v>UA133</v>
      </c>
      <c r="B143" s="56">
        <f>IF(ISERROR(VLOOKUP(A143,classifications!A:C,3,FALSE)),0,VLOOKUP(A143,classifications!A:C,3,FALSE))</f>
        <v>0</v>
      </c>
      <c r="C143" t="s">
        <v>89</v>
      </c>
      <c r="D143" t="str">
        <f>VLOOKUP($C143,classifications!$C:$J,4,FALSE)</f>
        <v>SD</v>
      </c>
      <c r="E143">
        <f>VLOOKUP(C143,classifications!C:K,9,FALSE)</f>
        <v>0</v>
      </c>
      <c r="F143">
        <f t="shared" si="67"/>
        <v>100</v>
      </c>
      <c r="G143" s="15"/>
      <c r="H143" s="41" t="str">
        <f t="shared" si="68"/>
        <v/>
      </c>
      <c r="I143" s="73" t="str">
        <f>IF(H143="","",IF($I$8="A",(RANK(H143,H$11:H$333,1)+COUNTIF(H$11:H143,H143)-1),(RANK(H143,H$11:H$333)+COUNTIF(H$11:H143,H143)-1)))</f>
        <v/>
      </c>
      <c r="J143" s="40"/>
      <c r="K143" s="35" t="str">
        <f t="shared" si="75"/>
        <v/>
      </c>
      <c r="L143" t="str">
        <f t="shared" si="69"/>
        <v/>
      </c>
      <c r="M143" s="109" t="str">
        <f t="shared" si="70"/>
        <v/>
      </c>
      <c r="N143" s="104" t="str">
        <f t="shared" si="55"/>
        <v/>
      </c>
      <c r="O143" s="89" t="str">
        <f t="shared" si="56"/>
        <v/>
      </c>
      <c r="P143" s="89" t="str">
        <f t="shared" si="57"/>
        <v/>
      </c>
      <c r="Q143" s="89" t="str">
        <f t="shared" si="58"/>
        <v/>
      </c>
      <c r="R143" s="85" t="str">
        <f t="shared" si="59"/>
        <v/>
      </c>
      <c r="S143" s="41" t="str">
        <f t="shared" si="60"/>
        <v/>
      </c>
      <c r="T143" s="166" t="str">
        <f>IF(L143="","",VLOOKUP(L143,classifications!C:K,9,FALSE))</f>
        <v/>
      </c>
      <c r="U143" s="167" t="str">
        <f t="shared" si="61"/>
        <v/>
      </c>
      <c r="V143" s="173" t="str">
        <f>IF(U143="","",IF($I$8="A",(RANK(U143,U$11:U$333)+COUNTIF(U$11:U143,U143)-1),(RANK(U143,U$11:U$333,1)+COUNTIF(U$11:U143,U143)-1)))</f>
        <v/>
      </c>
      <c r="W143" s="174"/>
      <c r="X143" s="5" t="str">
        <f>IF(L143="","",VLOOKUP($L143,classifications!$C:$J,6,FALSE))</f>
        <v/>
      </c>
      <c r="Y143" t="str">
        <f t="shared" si="62"/>
        <v/>
      </c>
      <c r="Z143" s="39" t="str">
        <f>IF(Y143="","",IF(I$8="A",(RANK(Y143,Y$11:Y$333,1)+COUNTIF(Y$11:Y143,Y143)-1),(RANK(Y143,Y$11:Y$333)+COUNTIF(Y$11:Y143,Y143)-1)))</f>
        <v/>
      </c>
      <c r="AA143" s="177" t="str">
        <f>IF(L143="","",VLOOKUP($L143,classifications!C:I,7,FALSE))</f>
        <v/>
      </c>
      <c r="AB143" s="173" t="str">
        <f t="shared" si="63"/>
        <v/>
      </c>
      <c r="AC143" s="173" t="str">
        <f>IF(AB143="","",IF($I$8="A",(RANK(AB143,AB$11:AB$333)+COUNTIF(AB$11:AB143,AB143)-1),(RANK(AB143,AB$11:AB$333,1)+COUNTIF(AB$11:AB143,AB143)-1)))</f>
        <v/>
      </c>
      <c r="AD143" s="173"/>
      <c r="AE143" s="45">
        <f>IF(I$8="A",(RANK(AG143,AG$11:AG$333,1)+COUNTIF(AG$11:AG143,AG143)-1),(RANK(AG143,AG$11:AG$333)+COUNTIF(AG$11:AG143,AG143)-1))</f>
        <v>132</v>
      </c>
      <c r="AF143" t="str">
        <f>VLOOKUP(Profile!$J$5,Families!$C:$R,2,FALSE)</f>
        <v>Cheshire West &amp; Chester</v>
      </c>
      <c r="AG143" s="15">
        <f t="shared" si="76"/>
        <v>100</v>
      </c>
      <c r="AH143" s="46">
        <f t="shared" si="64"/>
        <v>132</v>
      </c>
      <c r="AI143" s="5" t="str">
        <f>IF(L143="","",VLOOKUP($L143,classifications!$C:$J,8,FALSE))</f>
        <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100</v>
      </c>
    </row>
    <row r="144" spans="1:50">
      <c r="A144" s="55" t="str">
        <f>$D$1&amp;134</f>
        <v>UA134</v>
      </c>
      <c r="B144" s="56">
        <f>IF(ISERROR(VLOOKUP(A144,classifications!A:C,3,FALSE)),0,VLOOKUP(A144,classifications!A:C,3,FALSE))</f>
        <v>0</v>
      </c>
      <c r="C144" t="s">
        <v>90</v>
      </c>
      <c r="D144" t="str">
        <f>VLOOKUP($C144,classifications!$C:$J,4,FALSE)</f>
        <v>SD</v>
      </c>
      <c r="E144">
        <f>VLOOKUP(C144,classifications!C:K,9,FALSE)</f>
        <v>0</v>
      </c>
      <c r="F144">
        <f t="shared" si="67"/>
        <v>50</v>
      </c>
      <c r="G144" s="15"/>
      <c r="H144" s="41" t="str">
        <f t="shared" si="68"/>
        <v/>
      </c>
      <c r="I144" s="73" t="str">
        <f>IF(H144="","",IF($I$8="A",(RANK(H144,H$11:H$333,1)+COUNTIF(H$11:H144,H144)-1),(RANK(H144,H$11:H$333)+COUNTIF(H$11:H144,H144)-1)))</f>
        <v/>
      </c>
      <c r="J144" s="40"/>
      <c r="K144" s="35" t="str">
        <f t="shared" si="75"/>
        <v/>
      </c>
      <c r="L144" t="str">
        <f t="shared" si="69"/>
        <v/>
      </c>
      <c r="M144" s="109" t="str">
        <f t="shared" si="70"/>
        <v/>
      </c>
      <c r="N144" s="104" t="str">
        <f t="shared" si="55"/>
        <v/>
      </c>
      <c r="O144" s="89" t="str">
        <f t="shared" si="56"/>
        <v/>
      </c>
      <c r="P144" s="89" t="str">
        <f t="shared" si="57"/>
        <v/>
      </c>
      <c r="Q144" s="89" t="str">
        <f t="shared" si="58"/>
        <v/>
      </c>
      <c r="R144" s="85" t="str">
        <f t="shared" si="59"/>
        <v/>
      </c>
      <c r="S144" s="41" t="str">
        <f t="shared" si="60"/>
        <v/>
      </c>
      <c r="T144" s="166" t="str">
        <f>IF(L144="","",VLOOKUP(L144,classifications!C:K,9,FALSE))</f>
        <v/>
      </c>
      <c r="U144" s="167" t="str">
        <f t="shared" si="61"/>
        <v/>
      </c>
      <c r="V144" s="173" t="str">
        <f>IF(U144="","",IF($I$8="A",(RANK(U144,U$11:U$333)+COUNTIF(U$11:U144,U144)-1),(RANK(U144,U$11:U$333,1)+COUNTIF(U$11:U144,U144)-1)))</f>
        <v/>
      </c>
      <c r="W144" s="174"/>
      <c r="X144" s="5" t="str">
        <f>IF(L144="","",VLOOKUP($L144,classifications!$C:$J,6,FALSE))</f>
        <v/>
      </c>
      <c r="Y144" t="str">
        <f t="shared" si="62"/>
        <v/>
      </c>
      <c r="Z144" s="39" t="str">
        <f>IF(Y144="","",IF(I$8="A",(RANK(Y144,Y$11:Y$333,1)+COUNTIF(Y$11:Y144,Y144)-1),(RANK(Y144,Y$11:Y$333)+COUNTIF(Y$11:Y144,Y144)-1)))</f>
        <v/>
      </c>
      <c r="AA144" s="177" t="str">
        <f>IF(L144="","",VLOOKUP($L144,classifications!C:I,7,FALSE))</f>
        <v/>
      </c>
      <c r="AB144" s="173" t="str">
        <f t="shared" si="63"/>
        <v/>
      </c>
      <c r="AC144" s="173" t="str">
        <f>IF(AB144="","",IF($I$8="A",(RANK(AB144,AB$11:AB$333)+COUNTIF(AB$11:AB144,AB144)-1),(RANK(AB144,AB$11:AB$333,1)+COUNTIF(AB$11:AB144,AB144)-1)))</f>
        <v/>
      </c>
      <c r="AD144" s="173"/>
      <c r="AE144" s="45">
        <f>IF(I$8="A",(RANK(AG144,AG$11:AG$333,1)+COUNTIF(AG$11:AG144,AG144)-1),(RANK(AG144,AG$11:AG$333)+COUNTIF(AG$11:AG144,AG144)-1))</f>
        <v>133</v>
      </c>
      <c r="AF144" t="str">
        <f>VLOOKUP(Profile!$J$5,Families!$C:$R,2,FALSE)</f>
        <v>Cheshire West &amp; Chester</v>
      </c>
      <c r="AG144" s="15">
        <f t="shared" si="76"/>
        <v>100</v>
      </c>
      <c r="AH144" s="46">
        <f t="shared" si="64"/>
        <v>133</v>
      </c>
      <c r="AI144" s="5" t="str">
        <f>IF(L144="","",VLOOKUP($L144,classifications!$C:$J,8,FALSE))</f>
        <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50</v>
      </c>
    </row>
    <row r="145" spans="1:50">
      <c r="A145" s="55" t="str">
        <f>$D$1&amp;135</f>
        <v>UA135</v>
      </c>
      <c r="B145" s="56">
        <f>IF(ISERROR(VLOOKUP(A145,classifications!A:C,3,FALSE)),0,VLOOKUP(A145,classifications!A:C,3,FALSE))</f>
        <v>0</v>
      </c>
      <c r="C145" t="s">
        <v>810</v>
      </c>
      <c r="D145" t="str">
        <f>VLOOKUP($C145,classifications!$C:$J,4,FALSE)</f>
        <v>UA</v>
      </c>
      <c r="E145" t="str">
        <f>VLOOKUP(C145,classifications!C:K,9,FALSE)</f>
        <v>Sparse</v>
      </c>
      <c r="F145">
        <f t="shared" si="67"/>
        <v>90.909090909090907</v>
      </c>
      <c r="G145" s="15"/>
      <c r="H145" s="41">
        <f t="shared" si="68"/>
        <v>90.909090909090907</v>
      </c>
      <c r="I145" s="73">
        <f>IF(H145="","",IF($I$8="A",(RANK(H145,H$11:H$333,1)+COUNTIF(H$11:H145,H145)-1),(RANK(H145,H$11:H$333)+COUNTIF(H$11:H145,H145)-1)))</f>
        <v>34</v>
      </c>
      <c r="J145" s="40"/>
      <c r="K145" s="35" t="str">
        <f t="shared" si="75"/>
        <v/>
      </c>
      <c r="L145" t="str">
        <f t="shared" si="69"/>
        <v/>
      </c>
      <c r="M145" s="109" t="str">
        <f t="shared" si="70"/>
        <v/>
      </c>
      <c r="N145" s="104" t="str">
        <f t="shared" si="55"/>
        <v/>
      </c>
      <c r="O145" s="89" t="str">
        <f t="shared" si="56"/>
        <v/>
      </c>
      <c r="P145" s="89" t="str">
        <f t="shared" si="57"/>
        <v/>
      </c>
      <c r="Q145" s="89" t="str">
        <f t="shared" si="58"/>
        <v/>
      </c>
      <c r="R145" s="85" t="str">
        <f t="shared" si="59"/>
        <v/>
      </c>
      <c r="S145" s="41" t="str">
        <f t="shared" si="60"/>
        <v/>
      </c>
      <c r="T145" s="166" t="str">
        <f>IF(L145="","",VLOOKUP(L145,classifications!C:K,9,FALSE))</f>
        <v/>
      </c>
      <c r="U145" s="167" t="str">
        <f t="shared" si="61"/>
        <v/>
      </c>
      <c r="V145" s="173" t="str">
        <f>IF(U145="","",IF($I$8="A",(RANK(U145,U$11:U$333)+COUNTIF(U$11:U145,U145)-1),(RANK(U145,U$11:U$333,1)+COUNTIF(U$11:U145,U145)-1)))</f>
        <v/>
      </c>
      <c r="W145" s="174"/>
      <c r="X145" s="5" t="str">
        <f>IF(L145="","",VLOOKUP($L145,classifications!$C:$J,6,FALSE))</f>
        <v/>
      </c>
      <c r="Y145" t="str">
        <f t="shared" si="62"/>
        <v/>
      </c>
      <c r="Z145" s="39" t="str">
        <f>IF(Y145="","",IF(I$8="A",(RANK(Y145,Y$11:Y$333,1)+COUNTIF(Y$11:Y145,Y145)-1),(RANK(Y145,Y$11:Y$333)+COUNTIF(Y$11:Y145,Y145)-1)))</f>
        <v/>
      </c>
      <c r="AA145" s="177" t="str">
        <f>IF(L145="","",VLOOKUP($L145,classifications!C:I,7,FALSE))</f>
        <v/>
      </c>
      <c r="AB145" s="173" t="str">
        <f t="shared" si="63"/>
        <v/>
      </c>
      <c r="AC145" s="173" t="str">
        <f>IF(AB145="","",IF($I$8="A",(RANK(AB145,AB$11:AB$333)+COUNTIF(AB$11:AB145,AB145)-1),(RANK(AB145,AB$11:AB$333,1)+COUNTIF(AB$11:AB145,AB145)-1)))</f>
        <v/>
      </c>
      <c r="AD145" s="173"/>
      <c r="AE145" s="45">
        <f>IF(I$8="A",(RANK(AG145,AG$11:AG$333,1)+COUNTIF(AG$11:AG145,AG145)-1),(RANK(AG145,AG$11:AG$333)+COUNTIF(AG$11:AG145,AG145)-1))</f>
        <v>134</v>
      </c>
      <c r="AF145" t="str">
        <f>VLOOKUP(Profile!$J$5,Families!$C:$R,2,FALSE)</f>
        <v>Cheshire West &amp; Chester</v>
      </c>
      <c r="AG145" s="15">
        <f t="shared" si="76"/>
        <v>100</v>
      </c>
      <c r="AH145" s="46">
        <f t="shared" si="64"/>
        <v>134</v>
      </c>
      <c r="AI145" s="5" t="str">
        <f>IF(L145="","",VLOOKUP($L145,classifications!$C:$J,8,FALSE))</f>
        <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90.909090909090907</v>
      </c>
    </row>
    <row r="146" spans="1:50">
      <c r="A146" s="55" t="str">
        <f>$D$1&amp;136</f>
        <v>UA136</v>
      </c>
      <c r="B146" s="56">
        <f>IF(ISERROR(VLOOKUP(A146,classifications!A:C,3,FALSE)),0,VLOOKUP(A146,classifications!A:C,3,FALSE))</f>
        <v>0</v>
      </c>
      <c r="C146" t="s">
        <v>2</v>
      </c>
      <c r="D146">
        <f>VLOOKUP($C146,classifications!$C:$J,4,FALSE)</f>
        <v>0</v>
      </c>
      <c r="E146">
        <f>VLOOKUP(C146,classifications!C:K,9,FALSE)</f>
        <v>0</v>
      </c>
      <c r="F146">
        <f t="shared" si="67"/>
        <v>0</v>
      </c>
      <c r="G146" s="15"/>
      <c r="H146" s="41" t="str">
        <f t="shared" si="68"/>
        <v/>
      </c>
      <c r="I146" s="73" t="str">
        <f>IF(H146="","",IF($I$8="A",(RANK(H146,H$11:H$333,1)+COUNTIF(H$11:H146,H146)-1),(RANK(H146,H$11:H$333)+COUNTIF(H$11:H146,H146)-1)))</f>
        <v/>
      </c>
      <c r="J146" s="40"/>
      <c r="K146" s="35" t="str">
        <f t="shared" si="75"/>
        <v/>
      </c>
      <c r="L146" t="str">
        <f t="shared" si="69"/>
        <v/>
      </c>
      <c r="M146" s="109" t="str">
        <f t="shared" si="70"/>
        <v/>
      </c>
      <c r="N146" s="104" t="str">
        <f t="shared" si="55"/>
        <v/>
      </c>
      <c r="O146" s="89" t="str">
        <f t="shared" si="56"/>
        <v/>
      </c>
      <c r="P146" s="89" t="str">
        <f t="shared" si="57"/>
        <v/>
      </c>
      <c r="Q146" s="89" t="str">
        <f t="shared" si="58"/>
        <v/>
      </c>
      <c r="R146" s="85" t="str">
        <f t="shared" si="59"/>
        <v/>
      </c>
      <c r="S146" s="41" t="str">
        <f t="shared" si="60"/>
        <v/>
      </c>
      <c r="T146" s="166" t="str">
        <f>IF(L146="","",VLOOKUP(L146,classifications!C:K,9,FALSE))</f>
        <v/>
      </c>
      <c r="U146" s="167" t="str">
        <f t="shared" si="61"/>
        <v/>
      </c>
      <c r="V146" s="173" t="str">
        <f>IF(U146="","",IF($I$8="A",(RANK(U146,U$11:U$333)+COUNTIF(U$11:U146,U146)-1),(RANK(U146,U$11:U$333,1)+COUNTIF(U$11:U146,U146)-1)))</f>
        <v/>
      </c>
      <c r="W146" s="174"/>
      <c r="X146" s="5" t="str">
        <f>IF(L146="","",VLOOKUP($L146,classifications!$C:$J,6,FALSE))</f>
        <v/>
      </c>
      <c r="Y146" t="str">
        <f t="shared" si="62"/>
        <v/>
      </c>
      <c r="Z146" s="39" t="str">
        <f>IF(Y146="","",IF(I$8="A",(RANK(Y146,Y$11:Y$333,1)+COUNTIF(Y$11:Y146,Y146)-1),(RANK(Y146,Y$11:Y$333)+COUNTIF(Y$11:Y146,Y146)-1)))</f>
        <v/>
      </c>
      <c r="AA146" s="177" t="str">
        <f>IF(L146="","",VLOOKUP($L146,classifications!C:I,7,FALSE))</f>
        <v/>
      </c>
      <c r="AB146" s="173" t="str">
        <f t="shared" si="63"/>
        <v/>
      </c>
      <c r="AC146" s="173" t="str">
        <f>IF(AB146="","",IF($I$8="A",(RANK(AB146,AB$11:AB$333)+COUNTIF(AB$11:AB146,AB146)-1),(RANK(AB146,AB$11:AB$333,1)+COUNTIF(AB$11:AB146,AB146)-1)))</f>
        <v/>
      </c>
      <c r="AD146" s="173"/>
      <c r="AE146" s="45">
        <f>IF(I$8="A",(RANK(AG146,AG$11:AG$333,1)+COUNTIF(AG$11:AG146,AG146)-1),(RANK(AG146,AG$11:AG$333)+COUNTIF(AG$11:AG146,AG146)-1))</f>
        <v>135</v>
      </c>
      <c r="AF146" t="str">
        <f>VLOOKUP(Profile!$J$5,Families!$C:$R,2,FALSE)</f>
        <v>Cheshire West &amp; Chester</v>
      </c>
      <c r="AG146" s="15">
        <f t="shared" si="76"/>
        <v>100</v>
      </c>
      <c r="AH146" s="46">
        <f t="shared" si="64"/>
        <v>135</v>
      </c>
      <c r="AI146" s="5" t="str">
        <f>IF(L146="","",VLOOKUP($L146,classifications!$C:$J,8,FALSE))</f>
        <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0</v>
      </c>
    </row>
    <row r="147" spans="1:50">
      <c r="A147" s="55" t="str">
        <f>$D$1&amp;137</f>
        <v>UA137</v>
      </c>
      <c r="B147" s="56">
        <f>IF(ISERROR(VLOOKUP(A147,classifications!A:C,3,FALSE)),0,VLOOKUP(A147,classifications!A:C,3,FALSE))</f>
        <v>0</v>
      </c>
      <c r="C147" t="s">
        <v>211</v>
      </c>
      <c r="D147" t="str">
        <f>VLOOKUP($C147,classifications!$C:$J,4,FALSE)</f>
        <v>L</v>
      </c>
      <c r="E147">
        <f>VLOOKUP(C147,classifications!C:K,9,FALSE)</f>
        <v>0</v>
      </c>
      <c r="F147">
        <f t="shared" si="67"/>
        <v>100</v>
      </c>
      <c r="G147" s="15"/>
      <c r="H147" s="41" t="str">
        <f t="shared" si="68"/>
        <v/>
      </c>
      <c r="I147" s="73" t="str">
        <f>IF(H147="","",IF($I$8="A",(RANK(H147,H$11:H$333,1)+COUNTIF(H$11:H147,H147)-1),(RANK(H147,H$11:H$333)+COUNTIF(H$11:H147,H147)-1)))</f>
        <v/>
      </c>
      <c r="J147" s="40"/>
      <c r="K147" s="35" t="str">
        <f t="shared" si="75"/>
        <v/>
      </c>
      <c r="L147" t="str">
        <f t="shared" si="69"/>
        <v/>
      </c>
      <c r="M147" s="109" t="str">
        <f t="shared" si="70"/>
        <v/>
      </c>
      <c r="N147" s="104" t="str">
        <f t="shared" si="55"/>
        <v/>
      </c>
      <c r="O147" s="89" t="str">
        <f t="shared" si="56"/>
        <v/>
      </c>
      <c r="P147" s="89" t="str">
        <f t="shared" si="57"/>
        <v/>
      </c>
      <c r="Q147" s="89" t="str">
        <f t="shared" si="58"/>
        <v/>
      </c>
      <c r="R147" s="85" t="str">
        <f t="shared" si="59"/>
        <v/>
      </c>
      <c r="S147" s="41" t="str">
        <f t="shared" si="60"/>
        <v/>
      </c>
      <c r="T147" s="166" t="str">
        <f>IF(L147="","",VLOOKUP(L147,classifications!C:K,9,FALSE))</f>
        <v/>
      </c>
      <c r="U147" s="167" t="str">
        <f t="shared" si="61"/>
        <v/>
      </c>
      <c r="V147" s="173" t="str">
        <f>IF(U147="","",IF($I$8="A",(RANK(U147,U$11:U$333)+COUNTIF(U$11:U147,U147)-1),(RANK(U147,U$11:U$333,1)+COUNTIF(U$11:U147,U147)-1)))</f>
        <v/>
      </c>
      <c r="W147" s="174"/>
      <c r="X147" s="5" t="str">
        <f>IF(L147="","",VLOOKUP($L147,classifications!$C:$J,6,FALSE))</f>
        <v/>
      </c>
      <c r="Y147" t="str">
        <f t="shared" si="62"/>
        <v/>
      </c>
      <c r="Z147" s="39" t="str">
        <f>IF(Y147="","",IF(I$8="A",(RANK(Y147,Y$11:Y$333,1)+COUNTIF(Y$11:Y147,Y147)-1),(RANK(Y147,Y$11:Y$333)+COUNTIF(Y$11:Y147,Y147)-1)))</f>
        <v/>
      </c>
      <c r="AA147" s="177" t="str">
        <f>IF(L147="","",VLOOKUP($L147,classifications!C:I,7,FALSE))</f>
        <v/>
      </c>
      <c r="AB147" s="173" t="str">
        <f t="shared" si="63"/>
        <v/>
      </c>
      <c r="AC147" s="173" t="str">
        <f>IF(AB147="","",IF($I$8="A",(RANK(AB147,AB$11:AB$333)+COUNTIF(AB$11:AB147,AB147)-1),(RANK(AB147,AB$11:AB$333,1)+COUNTIF(AB$11:AB147,AB147)-1)))</f>
        <v/>
      </c>
      <c r="AD147" s="173"/>
      <c r="AE147" s="45">
        <f>IF(I$8="A",(RANK(AG147,AG$11:AG$333,1)+COUNTIF(AG$11:AG147,AG147)-1),(RANK(AG147,AG$11:AG$333)+COUNTIF(AG$11:AG147,AG147)-1))</f>
        <v>136</v>
      </c>
      <c r="AF147" t="str">
        <f>VLOOKUP(Profile!$J$5,Families!$C:$R,2,FALSE)</f>
        <v>Cheshire West &amp; Chester</v>
      </c>
      <c r="AG147" s="15">
        <f t="shared" si="76"/>
        <v>100</v>
      </c>
      <c r="AH147" s="46">
        <f t="shared" si="64"/>
        <v>136</v>
      </c>
      <c r="AI147" s="5" t="str">
        <f>IF(L147="","",VLOOKUP($L147,classifications!$C:$J,8,FALSE))</f>
        <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100</v>
      </c>
    </row>
    <row r="148" spans="1:50">
      <c r="A148" s="55" t="str">
        <f>$D$1&amp;138</f>
        <v>UA138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t="str">
        <f t="shared" si="75"/>
        <v/>
      </c>
      <c r="L148" t="str">
        <f t="shared" si="69"/>
        <v/>
      </c>
      <c r="M148" s="109" t="str">
        <f t="shared" si="70"/>
        <v/>
      </c>
      <c r="N148" s="104" t="str">
        <f t="shared" si="55"/>
        <v/>
      </c>
      <c r="O148" s="89" t="str">
        <f t="shared" si="56"/>
        <v/>
      </c>
      <c r="P148" s="89" t="str">
        <f t="shared" si="57"/>
        <v/>
      </c>
      <c r="Q148" s="89" t="str">
        <f t="shared" si="58"/>
        <v/>
      </c>
      <c r="R148" s="85" t="str">
        <f t="shared" si="59"/>
        <v/>
      </c>
      <c r="S148" s="41" t="str">
        <f t="shared" si="60"/>
        <v/>
      </c>
      <c r="T148" s="166" t="str">
        <f>IF(L148="","",VLOOKUP(L148,classifications!C:K,9,FALSE))</f>
        <v/>
      </c>
      <c r="U148" s="167" t="str">
        <f t="shared" si="61"/>
        <v/>
      </c>
      <c r="V148" s="173" t="str">
        <f>IF(U148="","",IF($I$8="A",(RANK(U148,U$11:U$333)+COUNTIF(U$11:U148,U148)-1),(RANK(U148,U$11:U$333,1)+COUNTIF(U$11:U148,U148)-1)))</f>
        <v/>
      </c>
      <c r="W148" s="174"/>
      <c r="X148" s="5" t="str">
        <f>IF(L148="","",VLOOKUP($L148,classifications!$C:$J,6,FALSE))</f>
        <v/>
      </c>
      <c r="Y148" t="str">
        <f t="shared" si="62"/>
        <v/>
      </c>
      <c r="Z148" s="39" t="str">
        <f>IF(Y148="","",IF(I$8="A",(RANK(Y148,Y$11:Y$333,1)+COUNTIF(Y$11:Y148,Y148)-1),(RANK(Y148,Y$11:Y$333)+COUNTIF(Y$11:Y148,Y148)-1)))</f>
        <v/>
      </c>
      <c r="AA148" s="177" t="str">
        <f>IF(L148="","",VLOOKUP($L148,classifications!C:I,7,FALSE))</f>
        <v/>
      </c>
      <c r="AB148" s="173" t="str">
        <f t="shared" si="63"/>
        <v/>
      </c>
      <c r="AC148" s="173" t="str">
        <f>IF(AB148="","",IF($I$8="A",(RANK(AB148,AB$11:AB$333)+COUNTIF(AB$11:AB148,AB148)-1),(RANK(AB148,AB$11:AB$333,1)+COUNTIF(AB$11:AB148,AB148)-1)))</f>
        <v/>
      </c>
      <c r="AD148" s="173"/>
      <c r="AE148" s="45">
        <f>IF(I$8="A",(RANK(AG148,AG$11:AG$333,1)+COUNTIF(AG$11:AG148,AG148)-1),(RANK(AG148,AG$11:AG$333)+COUNTIF(AG$11:AG148,AG148)-1))</f>
        <v>137</v>
      </c>
      <c r="AF148" t="str">
        <f>VLOOKUP(Profile!$J$5,Families!$C:$R,2,FALSE)</f>
        <v>Cheshire West &amp; Chester</v>
      </c>
      <c r="AG148" s="15">
        <f t="shared" si="76"/>
        <v>100</v>
      </c>
      <c r="AH148" s="46">
        <f t="shared" si="64"/>
        <v>137</v>
      </c>
      <c r="AI148" s="5" t="str">
        <f>IF(L148="","",VLOOKUP($L148,classifications!$C:$J,8,FALSE))</f>
        <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UA139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t="str">
        <f t="shared" si="75"/>
        <v/>
      </c>
      <c r="L149" t="str">
        <f t="shared" si="69"/>
        <v/>
      </c>
      <c r="M149" s="109" t="str">
        <f t="shared" si="70"/>
        <v/>
      </c>
      <c r="N149" s="104" t="str">
        <f t="shared" si="55"/>
        <v/>
      </c>
      <c r="O149" s="89" t="str">
        <f t="shared" si="56"/>
        <v/>
      </c>
      <c r="P149" s="89" t="str">
        <f t="shared" si="57"/>
        <v/>
      </c>
      <c r="Q149" s="89" t="str">
        <f t="shared" si="58"/>
        <v/>
      </c>
      <c r="R149" s="85" t="str">
        <f t="shared" si="59"/>
        <v/>
      </c>
      <c r="S149" s="41" t="str">
        <f t="shared" si="60"/>
        <v/>
      </c>
      <c r="T149" s="166" t="str">
        <f>IF(L149="","",VLOOKUP(L149,classifications!C:K,9,FALSE))</f>
        <v/>
      </c>
      <c r="U149" s="167" t="str">
        <f t="shared" si="61"/>
        <v/>
      </c>
      <c r="V149" s="173" t="str">
        <f>IF(U149="","",IF($I$8="A",(RANK(U149,U$11:U$333)+COUNTIF(U$11:U149,U149)-1),(RANK(U149,U$11:U$333,1)+COUNTIF(U$11:U149,U149)-1)))</f>
        <v/>
      </c>
      <c r="W149" s="174"/>
      <c r="X149" s="5" t="str">
        <f>IF(L149="","",VLOOKUP($L149,classifications!$C:$J,6,FALSE))</f>
        <v/>
      </c>
      <c r="Y149" t="str">
        <f t="shared" si="62"/>
        <v/>
      </c>
      <c r="Z149" s="39" t="str">
        <f>IF(Y149="","",IF(I$8="A",(RANK(Y149,Y$11:Y$333,1)+COUNTIF(Y$11:Y149,Y149)-1),(RANK(Y149,Y$11:Y$333)+COUNTIF(Y$11:Y149,Y149)-1)))</f>
        <v/>
      </c>
      <c r="AA149" s="177" t="str">
        <f>IF(L149="","",VLOOKUP($L149,classifications!C:I,7,FALSE))</f>
        <v/>
      </c>
      <c r="AB149" s="173" t="str">
        <f t="shared" si="63"/>
        <v/>
      </c>
      <c r="AC149" s="173" t="str">
        <f>IF(AB149="","",IF($I$8="A",(RANK(AB149,AB$11:AB$333)+COUNTIF(AB$11:AB149,AB149)-1),(RANK(AB149,AB$11:AB$333,1)+COUNTIF(AB$11:AB149,AB149)-1)))</f>
        <v/>
      </c>
      <c r="AD149" s="173"/>
      <c r="AE149" s="45">
        <f>IF(I$8="A",(RANK(AG149,AG$11:AG$333,1)+COUNTIF(AG$11:AG149,AG149)-1),(RANK(AG149,AG$11:AG$333)+COUNTIF(AG$11:AG149,AG149)-1))</f>
        <v>138</v>
      </c>
      <c r="AF149" t="str">
        <f>VLOOKUP(Profile!$J$5,Families!$C:$R,2,FALSE)</f>
        <v>Cheshire West &amp; Chester</v>
      </c>
      <c r="AG149" s="15">
        <f t="shared" si="76"/>
        <v>100</v>
      </c>
      <c r="AH149" s="46">
        <f t="shared" si="64"/>
        <v>138</v>
      </c>
      <c r="AI149" s="5" t="str">
        <f>IF(L149="","",VLOOKUP($L149,classifications!$C:$J,8,FALSE))</f>
        <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UA140</v>
      </c>
      <c r="B150" s="56">
        <f>IF(ISERROR(VLOOKUP(A150,classifications!A:C,3,FALSE)),0,VLOOKUP(A150,classifications!A:C,3,FALSE))</f>
        <v>0</v>
      </c>
      <c r="C150" t="s">
        <v>375</v>
      </c>
      <c r="D150" t="str">
        <f>VLOOKUP($C150,classifications!$C:$J,4,FALSE)</f>
        <v>SD</v>
      </c>
      <c r="E150" t="str">
        <f>VLOOKUP(C150,classifications!C:K,9,FALSE)</f>
        <v>Sparse</v>
      </c>
      <c r="F150">
        <f t="shared" si="67"/>
        <v>94.444444444444443</v>
      </c>
      <c r="G150" s="15"/>
      <c r="H150" s="41" t="str">
        <f t="shared" si="68"/>
        <v/>
      </c>
      <c r="I150" s="73" t="str">
        <f>IF(H150="","",IF($I$8="A",(RANK(H150,H$11:H$333,1)+COUNTIF(H$11:H150,H150)-1),(RANK(H150,H$11:H$333)+COUNTIF(H$11:H150,H150)-1)))</f>
        <v/>
      </c>
      <c r="J150" s="40"/>
      <c r="K150" s="35" t="str">
        <f t="shared" si="75"/>
        <v/>
      </c>
      <c r="L150" t="str">
        <f t="shared" si="69"/>
        <v/>
      </c>
      <c r="M150" s="109" t="str">
        <f t="shared" si="70"/>
        <v/>
      </c>
      <c r="N150" s="104" t="str">
        <f t="shared" si="55"/>
        <v/>
      </c>
      <c r="O150" s="89" t="str">
        <f t="shared" si="56"/>
        <v/>
      </c>
      <c r="P150" s="89" t="str">
        <f t="shared" si="57"/>
        <v/>
      </c>
      <c r="Q150" s="89" t="str">
        <f t="shared" si="58"/>
        <v/>
      </c>
      <c r="R150" s="85" t="str">
        <f t="shared" si="59"/>
        <v/>
      </c>
      <c r="S150" s="41" t="str">
        <f t="shared" si="60"/>
        <v/>
      </c>
      <c r="T150" s="166" t="str">
        <f>IF(L150="","",VLOOKUP(L150,classifications!C:K,9,FALSE))</f>
        <v/>
      </c>
      <c r="U150" s="167" t="str">
        <f t="shared" si="61"/>
        <v/>
      </c>
      <c r="V150" s="173" t="str">
        <f>IF(U150="","",IF($I$8="A",(RANK(U150,U$11:U$333)+COUNTIF(U$11:U150,U150)-1),(RANK(U150,U$11:U$333,1)+COUNTIF(U$11:U150,U150)-1)))</f>
        <v/>
      </c>
      <c r="W150" s="174"/>
      <c r="X150" s="5" t="str">
        <f>IF(L150="","",VLOOKUP($L150,classifications!$C:$J,6,FALSE))</f>
        <v/>
      </c>
      <c r="Y150" t="str">
        <f t="shared" si="62"/>
        <v/>
      </c>
      <c r="Z150" s="39" t="str">
        <f>IF(Y150="","",IF(I$8="A",(RANK(Y150,Y$11:Y$333,1)+COUNTIF(Y$11:Y150,Y150)-1),(RANK(Y150,Y$11:Y$333)+COUNTIF(Y$11:Y150,Y150)-1)))</f>
        <v/>
      </c>
      <c r="AA150" s="177" t="str">
        <f>IF(L150="","",VLOOKUP($L150,classifications!C:I,7,FALSE))</f>
        <v/>
      </c>
      <c r="AB150" s="173" t="str">
        <f t="shared" si="63"/>
        <v/>
      </c>
      <c r="AC150" s="173" t="str">
        <f>IF(AB150="","",IF($I$8="A",(RANK(AB150,AB$11:AB$333)+COUNTIF(AB$11:AB150,AB150)-1),(RANK(AB150,AB$11:AB$333,1)+COUNTIF(AB$11:AB150,AB150)-1)))</f>
        <v/>
      </c>
      <c r="AD150" s="173"/>
      <c r="AE150" s="45">
        <f>IF(I$8="A",(RANK(AG150,AG$11:AG$333,1)+COUNTIF(AG$11:AG150,AG150)-1),(RANK(AG150,AG$11:AG$333)+COUNTIF(AG$11:AG150,AG150)-1))</f>
        <v>139</v>
      </c>
      <c r="AF150" t="str">
        <f>VLOOKUP(Profile!$J$5,Families!$C:$R,2,FALSE)</f>
        <v>Cheshire West &amp; Chester</v>
      </c>
      <c r="AG150" s="15">
        <f t="shared" si="76"/>
        <v>100</v>
      </c>
      <c r="AH150" s="46">
        <f t="shared" si="64"/>
        <v>139</v>
      </c>
      <c r="AI150" s="5" t="str">
        <f>IF(L150="","",VLOOKUP($L150,classifications!$C:$J,8,FALSE))</f>
        <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94.444444444444443</v>
      </c>
    </row>
    <row r="151" spans="1:50">
      <c r="A151" s="55" t="str">
        <f>$D$1&amp;141</f>
        <v>UA141</v>
      </c>
      <c r="B151" s="56">
        <f>IF(ISERROR(VLOOKUP(A151,classifications!A:C,3,FALSE)),0,VLOOKUP(A151,classifications!A:C,3,FALSE))</f>
        <v>0</v>
      </c>
      <c r="C151" t="s">
        <v>818</v>
      </c>
      <c r="D151" t="str">
        <f>VLOOKUP($C151,classifications!$C:$J,4,FALSE)</f>
        <v>UA</v>
      </c>
      <c r="E151">
        <f>VLOOKUP(C151,classifications!C:K,9,FALSE)</f>
        <v>0</v>
      </c>
      <c r="F151">
        <f t="shared" si="67"/>
        <v>100</v>
      </c>
      <c r="G151" s="15"/>
      <c r="H151" s="41">
        <f t="shared" si="68"/>
        <v>100</v>
      </c>
      <c r="I151" s="73">
        <f>IF(H151="","",IF($I$8="A",(RANK(H151,H$11:H$333,1)+COUNTIF(H$11:H151,H151)-1),(RANK(H151,H$11:H$333)+COUNTIF(H$11:H151,H151)-1)))</f>
        <v>9</v>
      </c>
      <c r="J151" s="40"/>
      <c r="K151" s="35" t="str">
        <f t="shared" si="75"/>
        <v/>
      </c>
      <c r="L151" t="str">
        <f t="shared" si="69"/>
        <v/>
      </c>
      <c r="M151" s="109" t="str">
        <f t="shared" si="70"/>
        <v/>
      </c>
      <c r="N151" s="104" t="str">
        <f t="shared" si="55"/>
        <v/>
      </c>
      <c r="O151" s="89" t="str">
        <f t="shared" si="56"/>
        <v/>
      </c>
      <c r="P151" s="89" t="str">
        <f t="shared" si="57"/>
        <v/>
      </c>
      <c r="Q151" s="89" t="str">
        <f t="shared" si="58"/>
        <v/>
      </c>
      <c r="R151" s="85" t="str">
        <f t="shared" si="59"/>
        <v/>
      </c>
      <c r="S151" s="41" t="str">
        <f t="shared" si="60"/>
        <v/>
      </c>
      <c r="T151" s="166" t="str">
        <f>IF(L151="","",VLOOKUP(L151,classifications!C:K,9,FALSE))</f>
        <v/>
      </c>
      <c r="U151" s="167" t="str">
        <f t="shared" si="61"/>
        <v/>
      </c>
      <c r="V151" s="173" t="str">
        <f>IF(U151="","",IF($I$8="A",(RANK(U151,U$11:U$333)+COUNTIF(U$11:U151,U151)-1),(RANK(U151,U$11:U$333,1)+COUNTIF(U$11:U151,U151)-1)))</f>
        <v/>
      </c>
      <c r="W151" s="174"/>
      <c r="X151" s="5" t="str">
        <f>IF(L151="","",VLOOKUP($L151,classifications!$C:$J,6,FALSE))</f>
        <v/>
      </c>
      <c r="Y151" t="str">
        <f t="shared" si="62"/>
        <v/>
      </c>
      <c r="Z151" s="39" t="str">
        <f>IF(Y151="","",IF(I$8="A",(RANK(Y151,Y$11:Y$333,1)+COUNTIF(Y$11:Y151,Y151)-1),(RANK(Y151,Y$11:Y$333)+COUNTIF(Y$11:Y151,Y151)-1)))</f>
        <v/>
      </c>
      <c r="AA151" s="177" t="str">
        <f>IF(L151="","",VLOOKUP($L151,classifications!C:I,7,FALSE))</f>
        <v/>
      </c>
      <c r="AB151" s="173" t="str">
        <f t="shared" si="63"/>
        <v/>
      </c>
      <c r="AC151" s="173" t="str">
        <f>IF(AB151="","",IF($I$8="A",(RANK(AB151,AB$11:AB$333)+COUNTIF(AB$11:AB151,AB151)-1),(RANK(AB151,AB$11:AB$333,1)+COUNTIF(AB$11:AB151,AB151)-1)))</f>
        <v/>
      </c>
      <c r="AD151" s="173"/>
      <c r="AE151" s="45">
        <f>IF(I$8="A",(RANK(AG151,AG$11:AG$333,1)+COUNTIF(AG$11:AG151,AG151)-1),(RANK(AG151,AG$11:AG$333)+COUNTIF(AG$11:AG151,AG151)-1))</f>
        <v>140</v>
      </c>
      <c r="AF151" t="str">
        <f>VLOOKUP(Profile!$J$5,Families!$C:$R,2,FALSE)</f>
        <v>Cheshire West &amp; Chester</v>
      </c>
      <c r="AG151" s="15">
        <f t="shared" si="76"/>
        <v>100</v>
      </c>
      <c r="AH151" s="46">
        <f t="shared" si="64"/>
        <v>140</v>
      </c>
      <c r="AI151" s="5" t="str">
        <f>IF(L151="","",VLOOKUP($L151,classifications!$C:$J,8,FALSE))</f>
        <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100</v>
      </c>
    </row>
    <row r="152" spans="1:50">
      <c r="A152" s="55" t="str">
        <f>$D$1&amp;142</f>
        <v>UA142</v>
      </c>
      <c r="B152" s="56">
        <f>IF(ISERROR(VLOOKUP(A152,classifications!A:C,3,FALSE)),0,VLOOKUP(A152,classifications!A:C,3,FALSE))</f>
        <v>0</v>
      </c>
      <c r="C152" t="s">
        <v>391</v>
      </c>
      <c r="D152" t="str">
        <f>VLOOKUP($C152,classifications!$C:$J,4,FALSE)</f>
        <v>L</v>
      </c>
      <c r="E152">
        <f>VLOOKUP(C152,classifications!C:K,9,FALSE)</f>
        <v>0</v>
      </c>
      <c r="F152">
        <f t="shared" si="67"/>
        <v>100</v>
      </c>
      <c r="G152" s="15"/>
      <c r="H152" s="41" t="str">
        <f t="shared" si="68"/>
        <v/>
      </c>
      <c r="I152" s="73" t="str">
        <f>IF(H152="","",IF($I$8="A",(RANK(H152,H$11:H$333,1)+COUNTIF(H$11:H152,H152)-1),(RANK(H152,H$11:H$333)+COUNTIF(H$11:H152,H152)-1)))</f>
        <v/>
      </c>
      <c r="J152" s="40"/>
      <c r="K152" s="35" t="str">
        <f t="shared" si="75"/>
        <v/>
      </c>
      <c r="L152" t="str">
        <f t="shared" si="69"/>
        <v/>
      </c>
      <c r="M152" s="109" t="str">
        <f t="shared" si="70"/>
        <v/>
      </c>
      <c r="N152" s="104" t="str">
        <f t="shared" si="55"/>
        <v/>
      </c>
      <c r="O152" s="89" t="str">
        <f t="shared" si="56"/>
        <v/>
      </c>
      <c r="P152" s="89" t="str">
        <f t="shared" si="57"/>
        <v/>
      </c>
      <c r="Q152" s="89" t="str">
        <f t="shared" si="58"/>
        <v/>
      </c>
      <c r="R152" s="85" t="str">
        <f t="shared" si="59"/>
        <v/>
      </c>
      <c r="S152" s="41" t="str">
        <f t="shared" si="60"/>
        <v/>
      </c>
      <c r="T152" s="166" t="str">
        <f>IF(L152="","",VLOOKUP(L152,classifications!C:K,9,FALSE))</f>
        <v/>
      </c>
      <c r="U152" s="167" t="str">
        <f t="shared" si="61"/>
        <v/>
      </c>
      <c r="V152" s="173" t="str">
        <f>IF(U152="","",IF($I$8="A",(RANK(U152,U$11:U$333)+COUNTIF(U$11:U152,U152)-1),(RANK(U152,U$11:U$333,1)+COUNTIF(U$11:U152,U152)-1)))</f>
        <v/>
      </c>
      <c r="W152" s="174"/>
      <c r="X152" s="5" t="str">
        <f>IF(L152="","",VLOOKUP($L152,classifications!$C:$J,6,FALSE))</f>
        <v/>
      </c>
      <c r="Y152" t="str">
        <f t="shared" si="62"/>
        <v/>
      </c>
      <c r="Z152" s="39" t="str">
        <f>IF(Y152="","",IF(I$8="A",(RANK(Y152,Y$11:Y$333,1)+COUNTIF(Y$11:Y152,Y152)-1),(RANK(Y152,Y$11:Y$333)+COUNTIF(Y$11:Y152,Y152)-1)))</f>
        <v/>
      </c>
      <c r="AA152" s="177" t="str">
        <f>IF(L152="","",VLOOKUP($L152,classifications!C:I,7,FALSE))</f>
        <v/>
      </c>
      <c r="AB152" s="173" t="str">
        <f t="shared" si="63"/>
        <v/>
      </c>
      <c r="AC152" s="173" t="str">
        <f>IF(AB152="","",IF($I$8="A",(RANK(AB152,AB$11:AB$333)+COUNTIF(AB$11:AB152,AB152)-1),(RANK(AB152,AB$11:AB$333,1)+COUNTIF(AB$11:AB152,AB152)-1)))</f>
        <v/>
      </c>
      <c r="AD152" s="173"/>
      <c r="AE152" s="45">
        <f>IF(I$8="A",(RANK(AG152,AG$11:AG$333,1)+COUNTIF(AG$11:AG152,AG152)-1),(RANK(AG152,AG$11:AG$333)+COUNTIF(AG$11:AG152,AG152)-1))</f>
        <v>141</v>
      </c>
      <c r="AF152" t="str">
        <f>VLOOKUP(Profile!$J$5,Families!$C:$R,2,FALSE)</f>
        <v>Cheshire West &amp; Chester</v>
      </c>
      <c r="AG152" s="15">
        <f t="shared" si="76"/>
        <v>100</v>
      </c>
      <c r="AH152" s="46">
        <f t="shared" si="64"/>
        <v>141</v>
      </c>
      <c r="AI152" s="5" t="str">
        <f>IF(L152="","",VLOOKUP($L152,classifications!$C:$J,8,FALSE))</f>
        <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100</v>
      </c>
    </row>
    <row r="153" spans="1:50">
      <c r="A153" s="55" t="str">
        <f>$D$1&amp;143</f>
        <v>UA143</v>
      </c>
      <c r="B153" s="56">
        <f>IF(ISERROR(VLOOKUP(A153,classifications!A:C,3,FALSE)),0,VLOOKUP(A153,classifications!A:C,3,FALSE))</f>
        <v>0</v>
      </c>
      <c r="C153" t="s">
        <v>232</v>
      </c>
      <c r="D153" t="str">
        <f>VLOOKUP($C153,classifications!$C:$J,4,FALSE)</f>
        <v>MD</v>
      </c>
      <c r="E153">
        <f>VLOOKUP(C153,classifications!C:K,9,FALSE)</f>
        <v>0</v>
      </c>
      <c r="F153">
        <f t="shared" si="67"/>
        <v>100</v>
      </c>
      <c r="G153" s="15"/>
      <c r="H153" s="41" t="str">
        <f t="shared" si="68"/>
        <v/>
      </c>
      <c r="I153" s="73" t="str">
        <f>IF(H153="","",IF($I$8="A",(RANK(H153,H$11:H$333,1)+COUNTIF(H$11:H153,H153)-1),(RANK(H153,H$11:H$333)+COUNTIF(H$11:H153,H153)-1)))</f>
        <v/>
      </c>
      <c r="J153" s="40"/>
      <c r="K153" s="35" t="str">
        <f t="shared" si="75"/>
        <v/>
      </c>
      <c r="L153" t="str">
        <f t="shared" si="69"/>
        <v/>
      </c>
      <c r="M153" s="109" t="str">
        <f t="shared" si="70"/>
        <v/>
      </c>
      <c r="N153" s="104" t="str">
        <f t="shared" si="55"/>
        <v/>
      </c>
      <c r="O153" s="89" t="str">
        <f t="shared" si="56"/>
        <v/>
      </c>
      <c r="P153" s="89" t="str">
        <f t="shared" si="57"/>
        <v/>
      </c>
      <c r="Q153" s="89" t="str">
        <f t="shared" si="58"/>
        <v/>
      </c>
      <c r="R153" s="85" t="str">
        <f t="shared" si="59"/>
        <v/>
      </c>
      <c r="S153" s="41" t="str">
        <f t="shared" si="60"/>
        <v/>
      </c>
      <c r="T153" s="166" t="str">
        <f>IF(L153="","",VLOOKUP(L153,classifications!C:K,9,FALSE))</f>
        <v/>
      </c>
      <c r="U153" s="167" t="str">
        <f t="shared" si="61"/>
        <v/>
      </c>
      <c r="V153" s="173" t="str">
        <f>IF(U153="","",IF($I$8="A",(RANK(U153,U$11:U$333)+COUNTIF(U$11:U153,U153)-1),(RANK(U153,U$11:U$333,1)+COUNTIF(U$11:U153,U153)-1)))</f>
        <v/>
      </c>
      <c r="W153" s="174"/>
      <c r="X153" s="5" t="str">
        <f>IF(L153="","",VLOOKUP($L153,classifications!$C:$J,6,FALSE))</f>
        <v/>
      </c>
      <c r="Y153" t="str">
        <f t="shared" si="62"/>
        <v/>
      </c>
      <c r="Z153" s="39" t="str">
        <f>IF(Y153="","",IF(I$8="A",(RANK(Y153,Y$11:Y$333,1)+COUNTIF(Y$11:Y153,Y153)-1),(RANK(Y153,Y$11:Y$333)+COUNTIF(Y$11:Y153,Y153)-1)))</f>
        <v/>
      </c>
      <c r="AA153" s="177" t="str">
        <f>IF(L153="","",VLOOKUP($L153,classifications!C:I,7,FALSE))</f>
        <v/>
      </c>
      <c r="AB153" s="173" t="str">
        <f t="shared" si="63"/>
        <v/>
      </c>
      <c r="AC153" s="173" t="str">
        <f>IF(AB153="","",IF($I$8="A",(RANK(AB153,AB$11:AB$333)+COUNTIF(AB$11:AB153,AB153)-1),(RANK(AB153,AB$11:AB$333,1)+COUNTIF(AB$11:AB153,AB153)-1)))</f>
        <v/>
      </c>
      <c r="AD153" s="173"/>
      <c r="AE153" s="45">
        <f>IF(I$8="A",(RANK(AG153,AG$11:AG$333,1)+COUNTIF(AG$11:AG153,AG153)-1),(RANK(AG153,AG$11:AG$333)+COUNTIF(AG$11:AG153,AG153)-1))</f>
        <v>142</v>
      </c>
      <c r="AF153" t="str">
        <f>VLOOKUP(Profile!$J$5,Families!$C:$R,2,FALSE)</f>
        <v>Cheshire West &amp; Chester</v>
      </c>
      <c r="AG153" s="15">
        <f t="shared" si="76"/>
        <v>100</v>
      </c>
      <c r="AH153" s="46">
        <f t="shared" si="64"/>
        <v>142</v>
      </c>
      <c r="AI153" s="5" t="str">
        <f>IF(L153="","",VLOOKUP($L153,classifications!$C:$J,8,FALSE))</f>
        <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100</v>
      </c>
    </row>
    <row r="154" spans="1:50">
      <c r="A154" s="55" t="str">
        <f>$D$1&amp;144</f>
        <v>UA144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t="str">
        <f t="shared" si="75"/>
        <v/>
      </c>
      <c r="L154" t="str">
        <f t="shared" si="69"/>
        <v/>
      </c>
      <c r="M154" s="109" t="str">
        <f t="shared" si="70"/>
        <v/>
      </c>
      <c r="N154" s="104" t="str">
        <f t="shared" si="55"/>
        <v/>
      </c>
      <c r="O154" s="89" t="str">
        <f t="shared" si="56"/>
        <v/>
      </c>
      <c r="P154" s="89" t="str">
        <f t="shared" si="57"/>
        <v/>
      </c>
      <c r="Q154" s="89" t="str">
        <f t="shared" si="58"/>
        <v/>
      </c>
      <c r="R154" s="85" t="str">
        <f t="shared" si="59"/>
        <v/>
      </c>
      <c r="S154" s="41" t="str">
        <f t="shared" si="60"/>
        <v/>
      </c>
      <c r="T154" s="166" t="str">
        <f>IF(L154="","",VLOOKUP(L154,classifications!C:K,9,FALSE))</f>
        <v/>
      </c>
      <c r="U154" s="167" t="str">
        <f t="shared" si="61"/>
        <v/>
      </c>
      <c r="V154" s="173" t="str">
        <f>IF(U154="","",IF($I$8="A",(RANK(U154,U$11:U$333)+COUNTIF(U$11:U154,U154)-1),(RANK(U154,U$11:U$333,1)+COUNTIF(U$11:U154,U154)-1)))</f>
        <v/>
      </c>
      <c r="W154" s="174"/>
      <c r="X154" s="5" t="str">
        <f>IF(L154="","",VLOOKUP($L154,classifications!$C:$J,6,FALSE))</f>
        <v/>
      </c>
      <c r="Y154" t="str">
        <f t="shared" si="62"/>
        <v/>
      </c>
      <c r="Z154" s="39" t="str">
        <f>IF(Y154="","",IF(I$8="A",(RANK(Y154,Y$11:Y$333,1)+COUNTIF(Y$11:Y154,Y154)-1),(RANK(Y154,Y$11:Y$333)+COUNTIF(Y$11:Y154,Y154)-1)))</f>
        <v/>
      </c>
      <c r="AA154" s="177" t="str">
        <f>IF(L154="","",VLOOKUP($L154,classifications!C:I,7,FALSE))</f>
        <v/>
      </c>
      <c r="AB154" s="173" t="str">
        <f t="shared" si="63"/>
        <v/>
      </c>
      <c r="AC154" s="173" t="str">
        <f>IF(AB154="","",IF($I$8="A",(RANK(AB154,AB$11:AB$333)+COUNTIF(AB$11:AB154,AB154)-1),(RANK(AB154,AB$11:AB$333,1)+COUNTIF(AB$11:AB154,AB154)-1)))</f>
        <v/>
      </c>
      <c r="AD154" s="173"/>
      <c r="AE154" s="45">
        <f>IF(I$8="A",(RANK(AG154,AG$11:AG$333,1)+COUNTIF(AG$11:AG154,AG154)-1),(RANK(AG154,AG$11:AG$333)+COUNTIF(AG$11:AG154,AG154)-1))</f>
        <v>143</v>
      </c>
      <c r="AF154" t="str">
        <f>VLOOKUP(Profile!$J$5,Families!$C:$R,2,FALSE)</f>
        <v>Cheshire West &amp; Chester</v>
      </c>
      <c r="AG154" s="15">
        <f t="shared" si="76"/>
        <v>100</v>
      </c>
      <c r="AH154" s="46">
        <f t="shared" si="64"/>
        <v>143</v>
      </c>
      <c r="AI154" s="5" t="str">
        <f>IF(L154="","",VLOOKUP($L154,classifications!$C:$J,8,FALSE))</f>
        <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UA145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t="str">
        <f t="shared" si="75"/>
        <v/>
      </c>
      <c r="L155" t="str">
        <f t="shared" si="69"/>
        <v/>
      </c>
      <c r="M155" s="109" t="str">
        <f t="shared" si="70"/>
        <v/>
      </c>
      <c r="N155" s="104" t="str">
        <f t="shared" si="55"/>
        <v/>
      </c>
      <c r="O155" s="89" t="str">
        <f t="shared" si="56"/>
        <v/>
      </c>
      <c r="P155" s="89" t="str">
        <f t="shared" si="57"/>
        <v/>
      </c>
      <c r="Q155" s="89" t="str">
        <f t="shared" si="58"/>
        <v/>
      </c>
      <c r="R155" s="85" t="str">
        <f t="shared" si="59"/>
        <v/>
      </c>
      <c r="S155" s="41" t="str">
        <f t="shared" si="60"/>
        <v/>
      </c>
      <c r="T155" s="166" t="str">
        <f>IF(L155="","",VLOOKUP(L155,classifications!C:K,9,FALSE))</f>
        <v/>
      </c>
      <c r="U155" s="167" t="str">
        <f t="shared" si="61"/>
        <v/>
      </c>
      <c r="V155" s="173" t="str">
        <f>IF(U155="","",IF($I$8="A",(RANK(U155,U$11:U$333)+COUNTIF(U$11:U155,U155)-1),(RANK(U155,U$11:U$333,1)+COUNTIF(U$11:U155,U155)-1)))</f>
        <v/>
      </c>
      <c r="W155" s="174"/>
      <c r="X155" s="5" t="str">
        <f>IF(L155="","",VLOOKUP($L155,classifications!$C:$J,6,FALSE))</f>
        <v/>
      </c>
      <c r="Y155" t="str">
        <f t="shared" si="62"/>
        <v/>
      </c>
      <c r="Z155" s="39" t="str">
        <f>IF(Y155="","",IF(I$8="A",(RANK(Y155,Y$11:Y$333,1)+COUNTIF(Y$11:Y155,Y155)-1),(RANK(Y155,Y$11:Y$333)+COUNTIF(Y$11:Y155,Y155)-1)))</f>
        <v/>
      </c>
      <c r="AA155" s="177" t="str">
        <f>IF(L155="","",VLOOKUP($L155,classifications!C:I,7,FALSE))</f>
        <v/>
      </c>
      <c r="AB155" s="173" t="str">
        <f t="shared" si="63"/>
        <v/>
      </c>
      <c r="AC155" s="173" t="str">
        <f>IF(AB155="","",IF($I$8="A",(RANK(AB155,AB$11:AB$333)+COUNTIF(AB$11:AB155,AB155)-1),(RANK(AB155,AB$11:AB$333,1)+COUNTIF(AB$11:AB155,AB155)-1)))</f>
        <v/>
      </c>
      <c r="AD155" s="173"/>
      <c r="AE155" s="45">
        <f>IF(I$8="A",(RANK(AG155,AG$11:AG$333,1)+COUNTIF(AG$11:AG155,AG155)-1),(RANK(AG155,AG$11:AG$333)+COUNTIF(AG$11:AG155,AG155)-1))</f>
        <v>144</v>
      </c>
      <c r="AF155" t="str">
        <f>VLOOKUP(Profile!$J$5,Families!$C:$R,2,FALSE)</f>
        <v>Cheshire West &amp; Chester</v>
      </c>
      <c r="AG155" s="15">
        <f t="shared" si="76"/>
        <v>100</v>
      </c>
      <c r="AH155" s="46">
        <f t="shared" si="64"/>
        <v>144</v>
      </c>
      <c r="AI155" s="5" t="str">
        <f>IF(L155="","",VLOOKUP($L155,classifications!$C:$J,8,FALSE))</f>
        <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UA146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t="str">
        <f t="shared" si="75"/>
        <v/>
      </c>
      <c r="L156" t="str">
        <f t="shared" si="69"/>
        <v/>
      </c>
      <c r="M156" s="109" t="str">
        <f t="shared" si="70"/>
        <v/>
      </c>
      <c r="N156" s="104" t="str">
        <f t="shared" si="55"/>
        <v/>
      </c>
      <c r="O156" s="89" t="str">
        <f t="shared" si="56"/>
        <v/>
      </c>
      <c r="P156" s="89" t="str">
        <f t="shared" si="57"/>
        <v/>
      </c>
      <c r="Q156" s="89" t="str">
        <f t="shared" si="58"/>
        <v/>
      </c>
      <c r="R156" s="85" t="str">
        <f t="shared" si="59"/>
        <v/>
      </c>
      <c r="S156" s="41" t="str">
        <f t="shared" si="60"/>
        <v/>
      </c>
      <c r="T156" s="166" t="str">
        <f>IF(L156="","",VLOOKUP(L156,classifications!C:K,9,FALSE))</f>
        <v/>
      </c>
      <c r="U156" s="167" t="str">
        <f t="shared" si="61"/>
        <v/>
      </c>
      <c r="V156" s="173" t="str">
        <f>IF(U156="","",IF($I$8="A",(RANK(U156,U$11:U$333)+COUNTIF(U$11:U156,U156)-1),(RANK(U156,U$11:U$333,1)+COUNTIF(U$11:U156,U156)-1)))</f>
        <v/>
      </c>
      <c r="W156" s="174"/>
      <c r="X156" s="5" t="str">
        <f>IF(L156="","",VLOOKUP($L156,classifications!$C:$J,6,FALSE))</f>
        <v/>
      </c>
      <c r="Y156" t="str">
        <f t="shared" si="62"/>
        <v/>
      </c>
      <c r="Z156" s="39" t="str">
        <f>IF(Y156="","",IF(I$8="A",(RANK(Y156,Y$11:Y$333,1)+COUNTIF(Y$11:Y156,Y156)-1),(RANK(Y156,Y$11:Y$333)+COUNTIF(Y$11:Y156,Y156)-1)))</f>
        <v/>
      </c>
      <c r="AA156" s="177" t="str">
        <f>IF(L156="","",VLOOKUP($L156,classifications!C:I,7,FALSE))</f>
        <v/>
      </c>
      <c r="AB156" s="173" t="str">
        <f t="shared" si="63"/>
        <v/>
      </c>
      <c r="AC156" s="173" t="str">
        <f>IF(AB156="","",IF($I$8="A",(RANK(AB156,AB$11:AB$333)+COUNTIF(AB$11:AB156,AB156)-1),(RANK(AB156,AB$11:AB$333,1)+COUNTIF(AB$11:AB156,AB156)-1)))</f>
        <v/>
      </c>
      <c r="AD156" s="173"/>
      <c r="AE156" s="45">
        <f>IF(I$8="A",(RANK(AG156,AG$11:AG$333,1)+COUNTIF(AG$11:AG156,AG156)-1),(RANK(AG156,AG$11:AG$333)+COUNTIF(AG$11:AG156,AG156)-1))</f>
        <v>145</v>
      </c>
      <c r="AF156" t="str">
        <f>VLOOKUP(Profile!$J$5,Families!$C:$R,2,FALSE)</f>
        <v>Cheshire West &amp; Chester</v>
      </c>
      <c r="AG156" s="15">
        <f t="shared" si="76"/>
        <v>100</v>
      </c>
      <c r="AH156" s="46">
        <f t="shared" si="64"/>
        <v>145</v>
      </c>
      <c r="AI156" s="5" t="str">
        <f>IF(L156="","",VLOOKUP($L156,classifications!$C:$J,8,FALSE))</f>
        <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UA147</v>
      </c>
      <c r="B157" s="56">
        <f>IF(ISERROR(VLOOKUP(A157,classifications!A:C,3,FALSE)),0,VLOOKUP(A157,classifications!A:C,3,FALSE))</f>
        <v>0</v>
      </c>
      <c r="C157" t="s">
        <v>92</v>
      </c>
      <c r="D157" t="str">
        <f>VLOOKUP($C157,classifications!$C:$J,4,FALSE)</f>
        <v>SD</v>
      </c>
      <c r="E157">
        <f>VLOOKUP(C157,classifications!C:K,9,FALSE)</f>
        <v>0</v>
      </c>
      <c r="F157">
        <f t="shared" si="67"/>
        <v>100</v>
      </c>
      <c r="G157" s="15"/>
      <c r="H157" s="41" t="str">
        <f t="shared" si="68"/>
        <v/>
      </c>
      <c r="I157" s="73" t="str">
        <f>IF(H157="","",IF($I$8="A",(RANK(H157,H$11:H$333,1)+COUNTIF(H$11:H157,H157)-1),(RANK(H157,H$11:H$333)+COUNTIF(H$11:H157,H157)-1)))</f>
        <v/>
      </c>
      <c r="J157" s="40"/>
      <c r="K157" s="35" t="str">
        <f t="shared" si="75"/>
        <v/>
      </c>
      <c r="L157" t="str">
        <f t="shared" si="69"/>
        <v/>
      </c>
      <c r="M157" s="109" t="str">
        <f t="shared" si="70"/>
        <v/>
      </c>
      <c r="N157" s="104" t="str">
        <f t="shared" si="55"/>
        <v/>
      </c>
      <c r="O157" s="89" t="str">
        <f t="shared" si="56"/>
        <v/>
      </c>
      <c r="P157" s="89" t="str">
        <f t="shared" si="57"/>
        <v/>
      </c>
      <c r="Q157" s="89" t="str">
        <f t="shared" si="58"/>
        <v/>
      </c>
      <c r="R157" s="85" t="str">
        <f t="shared" si="59"/>
        <v/>
      </c>
      <c r="S157" s="41" t="str">
        <f t="shared" si="60"/>
        <v/>
      </c>
      <c r="T157" s="166" t="str">
        <f>IF(L157="","",VLOOKUP(L157,classifications!C:K,9,FALSE))</f>
        <v/>
      </c>
      <c r="U157" s="167" t="str">
        <f t="shared" si="61"/>
        <v/>
      </c>
      <c r="V157" s="173" t="str">
        <f>IF(U157="","",IF($I$8="A",(RANK(U157,U$11:U$333)+COUNTIF(U$11:U157,U157)-1),(RANK(U157,U$11:U$333,1)+COUNTIF(U$11:U157,U157)-1)))</f>
        <v/>
      </c>
      <c r="W157" s="174"/>
      <c r="X157" s="5" t="str">
        <f>IF(L157="","",VLOOKUP($L157,classifications!$C:$J,6,FALSE))</f>
        <v/>
      </c>
      <c r="Y157" t="str">
        <f t="shared" si="62"/>
        <v/>
      </c>
      <c r="Z157" s="39" t="str">
        <f>IF(Y157="","",IF(I$8="A",(RANK(Y157,Y$11:Y$333,1)+COUNTIF(Y$11:Y157,Y157)-1),(RANK(Y157,Y$11:Y$333)+COUNTIF(Y$11:Y157,Y157)-1)))</f>
        <v/>
      </c>
      <c r="AA157" s="177" t="str">
        <f>IF(L157="","",VLOOKUP($L157,classifications!C:I,7,FALSE))</f>
        <v/>
      </c>
      <c r="AB157" s="173" t="str">
        <f t="shared" si="63"/>
        <v/>
      </c>
      <c r="AC157" s="173" t="str">
        <f>IF(AB157="","",IF($I$8="A",(RANK(AB157,AB$11:AB$333)+COUNTIF(AB$11:AB157,AB157)-1),(RANK(AB157,AB$11:AB$333,1)+COUNTIF(AB$11:AB157,AB157)-1)))</f>
        <v/>
      </c>
      <c r="AD157" s="173"/>
      <c r="AE157" s="45">
        <f>IF(I$8="A",(RANK(AG157,AG$11:AG$333,1)+COUNTIF(AG$11:AG157,AG157)-1),(RANK(AG157,AG$11:AG$333)+COUNTIF(AG$11:AG157,AG157)-1))</f>
        <v>146</v>
      </c>
      <c r="AF157" t="str">
        <f>VLOOKUP(Profile!$J$5,Families!$C:$R,2,FALSE)</f>
        <v>Cheshire West &amp; Chester</v>
      </c>
      <c r="AG157" s="15">
        <f t="shared" si="76"/>
        <v>100</v>
      </c>
      <c r="AH157" s="46">
        <f t="shared" si="64"/>
        <v>146</v>
      </c>
      <c r="AI157" s="5" t="str">
        <f>IF(L157="","",VLOOKUP($L157,classifications!$C:$J,8,FALSE))</f>
        <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100</v>
      </c>
    </row>
    <row r="158" spans="1:50">
      <c r="A158" s="55" t="str">
        <f>$D$1&amp;148</f>
        <v>UA148</v>
      </c>
      <c r="B158" s="56">
        <f>IF(ISERROR(VLOOKUP(A158,classifications!A:C,3,FALSE)),0,VLOOKUP(A158,classifications!A:C,3,FALSE))</f>
        <v>0</v>
      </c>
      <c r="C158" t="s">
        <v>234</v>
      </c>
      <c r="D158" t="str">
        <f>VLOOKUP($C158,classifications!$C:$J,4,FALSE)</f>
        <v>MD</v>
      </c>
      <c r="E158">
        <f>VLOOKUP(C158,classifications!C:K,9,FALSE)</f>
        <v>0</v>
      </c>
      <c r="F158">
        <f t="shared" si="67"/>
        <v>90.909090909090907</v>
      </c>
      <c r="G158" s="15"/>
      <c r="H158" s="41" t="str">
        <f t="shared" si="68"/>
        <v/>
      </c>
      <c r="I158" s="73" t="str">
        <f>IF(H158="","",IF($I$8="A",(RANK(H158,H$11:H$333,1)+COUNTIF(H$11:H158,H158)-1),(RANK(H158,H$11:H$333)+COUNTIF(H$11:H158,H158)-1)))</f>
        <v/>
      </c>
      <c r="J158" s="40"/>
      <c r="K158" s="35" t="str">
        <f t="shared" si="75"/>
        <v/>
      </c>
      <c r="L158" t="str">
        <f t="shared" si="69"/>
        <v/>
      </c>
      <c r="M158" s="109" t="str">
        <f t="shared" si="70"/>
        <v/>
      </c>
      <c r="N158" s="104" t="str">
        <f t="shared" si="55"/>
        <v/>
      </c>
      <c r="O158" s="89" t="str">
        <f t="shared" si="56"/>
        <v/>
      </c>
      <c r="P158" s="89" t="str">
        <f t="shared" si="57"/>
        <v/>
      </c>
      <c r="Q158" s="89" t="str">
        <f t="shared" si="58"/>
        <v/>
      </c>
      <c r="R158" s="85" t="str">
        <f t="shared" si="59"/>
        <v/>
      </c>
      <c r="S158" s="41" t="str">
        <f t="shared" si="60"/>
        <v/>
      </c>
      <c r="T158" s="166" t="str">
        <f>IF(L158="","",VLOOKUP(L158,classifications!C:K,9,FALSE))</f>
        <v/>
      </c>
      <c r="U158" s="167" t="str">
        <f t="shared" si="61"/>
        <v/>
      </c>
      <c r="V158" s="173" t="str">
        <f>IF(U158="","",IF($I$8="A",(RANK(U158,U$11:U$333)+COUNTIF(U$11:U158,U158)-1),(RANK(U158,U$11:U$333,1)+COUNTIF(U$11:U158,U158)-1)))</f>
        <v/>
      </c>
      <c r="W158" s="174"/>
      <c r="X158" s="5" t="str">
        <f>IF(L158="","",VLOOKUP($L158,classifications!$C:$J,6,FALSE))</f>
        <v/>
      </c>
      <c r="Y158" t="str">
        <f t="shared" si="62"/>
        <v/>
      </c>
      <c r="Z158" s="39" t="str">
        <f>IF(Y158="","",IF(I$8="A",(RANK(Y158,Y$11:Y$333,1)+COUNTIF(Y$11:Y158,Y158)-1),(RANK(Y158,Y$11:Y$333)+COUNTIF(Y$11:Y158,Y158)-1)))</f>
        <v/>
      </c>
      <c r="AA158" s="177" t="str">
        <f>IF(L158="","",VLOOKUP($L158,classifications!C:I,7,FALSE))</f>
        <v/>
      </c>
      <c r="AB158" s="173" t="str">
        <f t="shared" si="63"/>
        <v/>
      </c>
      <c r="AC158" s="173" t="str">
        <f>IF(AB158="","",IF($I$8="A",(RANK(AB158,AB$11:AB$333)+COUNTIF(AB$11:AB158,AB158)-1),(RANK(AB158,AB$11:AB$333,1)+COUNTIF(AB$11:AB158,AB158)-1)))</f>
        <v/>
      </c>
      <c r="AD158" s="173"/>
      <c r="AE158" s="45">
        <f>IF(I$8="A",(RANK(AG158,AG$11:AG$333,1)+COUNTIF(AG$11:AG158,AG158)-1),(RANK(AG158,AG$11:AG$333)+COUNTIF(AG$11:AG158,AG158)-1))</f>
        <v>147</v>
      </c>
      <c r="AF158" t="str">
        <f>VLOOKUP(Profile!$J$5,Families!$C:$R,2,FALSE)</f>
        <v>Cheshire West &amp; Chester</v>
      </c>
      <c r="AG158" s="15">
        <f t="shared" si="76"/>
        <v>100</v>
      </c>
      <c r="AH158" s="46">
        <f t="shared" si="64"/>
        <v>147</v>
      </c>
      <c r="AI158" s="5" t="str">
        <f>IF(L158="","",VLOOKUP($L158,classifications!$C:$J,8,FALSE))</f>
        <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90.909090909090907</v>
      </c>
    </row>
    <row r="159" spans="1:50">
      <c r="A159" s="55" t="str">
        <f>$D$1&amp;149</f>
        <v>UA149</v>
      </c>
      <c r="B159" s="56">
        <f>IF(ISERROR(VLOOKUP(A159,classifications!A:C,3,FALSE)),0,VLOOKUP(A159,classifications!A:C,3,FALSE))</f>
        <v>0</v>
      </c>
      <c r="C159" t="s">
        <v>271</v>
      </c>
      <c r="D159" t="str">
        <f>VLOOKUP($C159,classifications!$C:$J,4,FALSE)</f>
        <v>UA</v>
      </c>
      <c r="E159">
        <f>VLOOKUP(C159,classifications!C:K,9,FALSE)</f>
        <v>0</v>
      </c>
      <c r="F159">
        <f t="shared" si="67"/>
        <v>100</v>
      </c>
      <c r="G159" s="15"/>
      <c r="H159" s="41">
        <f t="shared" si="68"/>
        <v>100</v>
      </c>
      <c r="I159" s="73">
        <f>IF(H159="","",IF($I$8="A",(RANK(H159,H$11:H$333,1)+COUNTIF(H$11:H159,H159)-1),(RANK(H159,H$11:H$333)+COUNTIF(H$11:H159,H159)-1)))</f>
        <v>10</v>
      </c>
      <c r="J159" s="40"/>
      <c r="K159" s="35" t="str">
        <f t="shared" si="75"/>
        <v/>
      </c>
      <c r="L159" t="str">
        <f t="shared" si="69"/>
        <v/>
      </c>
      <c r="M159" s="109" t="str">
        <f t="shared" si="70"/>
        <v/>
      </c>
      <c r="N159" s="104" t="str">
        <f t="shared" si="55"/>
        <v/>
      </c>
      <c r="O159" s="89" t="str">
        <f t="shared" si="56"/>
        <v/>
      </c>
      <c r="P159" s="89" t="str">
        <f t="shared" si="57"/>
        <v/>
      </c>
      <c r="Q159" s="89" t="str">
        <f t="shared" si="58"/>
        <v/>
      </c>
      <c r="R159" s="85" t="str">
        <f t="shared" si="59"/>
        <v/>
      </c>
      <c r="S159" s="41" t="str">
        <f t="shared" si="60"/>
        <v/>
      </c>
      <c r="T159" s="166" t="str">
        <f>IF(L159="","",VLOOKUP(L159,classifications!C:K,9,FALSE))</f>
        <v/>
      </c>
      <c r="U159" s="167" t="str">
        <f t="shared" si="61"/>
        <v/>
      </c>
      <c r="V159" s="173" t="str">
        <f>IF(U159="","",IF($I$8="A",(RANK(U159,U$11:U$333)+COUNTIF(U$11:U159,U159)-1),(RANK(U159,U$11:U$333,1)+COUNTIF(U$11:U159,U159)-1)))</f>
        <v/>
      </c>
      <c r="W159" s="174"/>
      <c r="X159" s="5" t="str">
        <f>IF(L159="","",VLOOKUP($L159,classifications!$C:$J,6,FALSE))</f>
        <v/>
      </c>
      <c r="Y159" t="str">
        <f t="shared" si="62"/>
        <v/>
      </c>
      <c r="Z159" s="39" t="str">
        <f>IF(Y159="","",IF(I$8="A",(RANK(Y159,Y$11:Y$333,1)+COUNTIF(Y$11:Y159,Y159)-1),(RANK(Y159,Y$11:Y$333)+COUNTIF(Y$11:Y159,Y159)-1)))</f>
        <v/>
      </c>
      <c r="AA159" s="177" t="str">
        <f>IF(L159="","",VLOOKUP($L159,classifications!C:I,7,FALSE))</f>
        <v/>
      </c>
      <c r="AB159" s="173" t="str">
        <f t="shared" si="63"/>
        <v/>
      </c>
      <c r="AC159" s="173" t="str">
        <f>IF(AB159="","",IF($I$8="A",(RANK(AB159,AB$11:AB$333)+COUNTIF(AB$11:AB159,AB159)-1),(RANK(AB159,AB$11:AB$333,1)+COUNTIF(AB$11:AB159,AB159)-1)))</f>
        <v/>
      </c>
      <c r="AD159" s="173"/>
      <c r="AE159" s="45">
        <f>IF(I$8="A",(RANK(AG159,AG$11:AG$333,1)+COUNTIF(AG$11:AG159,AG159)-1),(RANK(AG159,AG$11:AG$333)+COUNTIF(AG$11:AG159,AG159)-1))</f>
        <v>148</v>
      </c>
      <c r="AF159" t="str">
        <f>VLOOKUP(Profile!$J$5,Families!$C:$R,2,FALSE)</f>
        <v>Cheshire West &amp; Chester</v>
      </c>
      <c r="AG159" s="15">
        <f t="shared" si="76"/>
        <v>100</v>
      </c>
      <c r="AH159" s="46">
        <f t="shared" si="64"/>
        <v>148</v>
      </c>
      <c r="AI159" s="5" t="str">
        <f>IF(L159="","",VLOOKUP($L159,classifications!$C:$J,8,FALSE))</f>
        <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100</v>
      </c>
    </row>
    <row r="160" spans="1:50">
      <c r="A160" s="55" t="str">
        <f>$D$1&amp;150</f>
        <v>UA150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t="str">
        <f t="shared" si="75"/>
        <v/>
      </c>
      <c r="L160" t="str">
        <f t="shared" si="69"/>
        <v/>
      </c>
      <c r="M160" s="109" t="str">
        <f t="shared" si="70"/>
        <v/>
      </c>
      <c r="N160" s="104" t="str">
        <f t="shared" si="55"/>
        <v/>
      </c>
      <c r="O160" s="89" t="str">
        <f t="shared" si="56"/>
        <v/>
      </c>
      <c r="P160" s="89" t="str">
        <f t="shared" si="57"/>
        <v/>
      </c>
      <c r="Q160" s="89" t="str">
        <f t="shared" si="58"/>
        <v/>
      </c>
      <c r="R160" s="85" t="str">
        <f t="shared" si="59"/>
        <v/>
      </c>
      <c r="S160" s="41" t="str">
        <f t="shared" si="60"/>
        <v/>
      </c>
      <c r="T160" s="166" t="str">
        <f>IF(L160="","",VLOOKUP(L160,classifications!C:K,9,FALSE))</f>
        <v/>
      </c>
      <c r="U160" s="167" t="str">
        <f t="shared" si="61"/>
        <v/>
      </c>
      <c r="V160" s="173" t="str">
        <f>IF(U160="","",IF($I$8="A",(RANK(U160,U$11:U$333)+COUNTIF(U$11:U160,U160)-1),(RANK(U160,U$11:U$333,1)+COUNTIF(U$11:U160,U160)-1)))</f>
        <v/>
      </c>
      <c r="W160" s="174"/>
      <c r="X160" s="5" t="str">
        <f>IF(L160="","",VLOOKUP($L160,classifications!$C:$J,6,FALSE))</f>
        <v/>
      </c>
      <c r="Y160" t="str">
        <f t="shared" si="62"/>
        <v/>
      </c>
      <c r="Z160" s="39" t="str">
        <f>IF(Y160="","",IF(I$8="A",(RANK(Y160,Y$11:Y$333,1)+COUNTIF(Y$11:Y160,Y160)-1),(RANK(Y160,Y$11:Y$333)+COUNTIF(Y$11:Y160,Y160)-1)))</f>
        <v/>
      </c>
      <c r="AA160" s="177" t="str">
        <f>IF(L160="","",VLOOKUP($L160,classifications!C:I,7,FALSE))</f>
        <v/>
      </c>
      <c r="AB160" s="173" t="str">
        <f t="shared" si="63"/>
        <v/>
      </c>
      <c r="AC160" s="173" t="str">
        <f>IF(AB160="","",IF($I$8="A",(RANK(AB160,AB$11:AB$333)+COUNTIF(AB$11:AB160,AB160)-1),(RANK(AB160,AB$11:AB$333,1)+COUNTIF(AB$11:AB160,AB160)-1)))</f>
        <v/>
      </c>
      <c r="AD160" s="173"/>
      <c r="AE160" s="45">
        <f>IF(I$8="A",(RANK(AG160,AG$11:AG$333,1)+COUNTIF(AG$11:AG160,AG160)-1),(RANK(AG160,AG$11:AG$333)+COUNTIF(AG$11:AG160,AG160)-1))</f>
        <v>149</v>
      </c>
      <c r="AF160" t="str">
        <f>VLOOKUP(Profile!$J$5,Families!$C:$R,2,FALSE)</f>
        <v>Cheshire West &amp; Chester</v>
      </c>
      <c r="AG160" s="15">
        <f t="shared" si="76"/>
        <v>100</v>
      </c>
      <c r="AH160" s="46">
        <f t="shared" si="64"/>
        <v>149</v>
      </c>
      <c r="AI160" s="5" t="str">
        <f>IF(L160="","",VLOOKUP($L160,classifications!$C:$J,8,FALSE))</f>
        <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UA151</v>
      </c>
      <c r="B161" s="56">
        <f>IF(ISERROR(VLOOKUP(A161,classifications!A:C,3,FALSE)),0,VLOOKUP(A161,classifications!A:C,3,FALSE))</f>
        <v>0</v>
      </c>
      <c r="C161" t="s">
        <v>93</v>
      </c>
      <c r="D161" t="str">
        <f>VLOOKUP($C161,classifications!$C:$J,4,FALSE)</f>
        <v>SD</v>
      </c>
      <c r="E161" t="str">
        <f>VLOOKUP(C161,classifications!C:K,9,FALSE)</f>
        <v>Sparse</v>
      </c>
      <c r="F161">
        <f t="shared" si="67"/>
        <v>100</v>
      </c>
      <c r="G161" s="15"/>
      <c r="H161" s="41" t="str">
        <f t="shared" si="68"/>
        <v/>
      </c>
      <c r="I161" s="73" t="str">
        <f>IF(H161="","",IF($I$8="A",(RANK(H161,H$11:H$333,1)+COUNTIF(H$11:H161,H161)-1),(RANK(H161,H$11:H$333)+COUNTIF(H$11:H161,H161)-1)))</f>
        <v/>
      </c>
      <c r="J161" s="40"/>
      <c r="K161" s="35" t="str">
        <f t="shared" si="75"/>
        <v/>
      </c>
      <c r="L161" t="str">
        <f t="shared" si="69"/>
        <v/>
      </c>
      <c r="M161" s="109" t="str">
        <f t="shared" si="70"/>
        <v/>
      </c>
      <c r="N161" s="104" t="str">
        <f t="shared" si="55"/>
        <v/>
      </c>
      <c r="O161" s="89" t="str">
        <f t="shared" si="56"/>
        <v/>
      </c>
      <c r="P161" s="89" t="str">
        <f t="shared" si="57"/>
        <v/>
      </c>
      <c r="Q161" s="89" t="str">
        <f t="shared" si="58"/>
        <v/>
      </c>
      <c r="R161" s="85" t="str">
        <f t="shared" si="59"/>
        <v/>
      </c>
      <c r="S161" s="41" t="str">
        <f t="shared" si="60"/>
        <v/>
      </c>
      <c r="T161" s="166" t="str">
        <f>IF(L161="","",VLOOKUP(L161,classifications!C:K,9,FALSE))</f>
        <v/>
      </c>
      <c r="U161" s="167" t="str">
        <f t="shared" si="61"/>
        <v/>
      </c>
      <c r="V161" s="173" t="str">
        <f>IF(U161="","",IF($I$8="A",(RANK(U161,U$11:U$333)+COUNTIF(U$11:U161,U161)-1),(RANK(U161,U$11:U$333,1)+COUNTIF(U$11:U161,U161)-1)))</f>
        <v/>
      </c>
      <c r="W161" s="174"/>
      <c r="X161" s="5" t="str">
        <f>IF(L161="","",VLOOKUP($L161,classifications!$C:$J,6,FALSE))</f>
        <v/>
      </c>
      <c r="Y161" t="str">
        <f t="shared" si="62"/>
        <v/>
      </c>
      <c r="Z161" s="39" t="str">
        <f>IF(Y161="","",IF(I$8="A",(RANK(Y161,Y$11:Y$333,1)+COUNTIF(Y$11:Y161,Y161)-1),(RANK(Y161,Y$11:Y$333)+COUNTIF(Y$11:Y161,Y161)-1)))</f>
        <v/>
      </c>
      <c r="AA161" s="177" t="str">
        <f>IF(L161="","",VLOOKUP($L161,classifications!C:I,7,FALSE))</f>
        <v/>
      </c>
      <c r="AB161" s="173" t="str">
        <f t="shared" si="63"/>
        <v/>
      </c>
      <c r="AC161" s="173" t="str">
        <f>IF(AB161="","",IF($I$8="A",(RANK(AB161,AB$11:AB$333)+COUNTIF(AB$11:AB161,AB161)-1),(RANK(AB161,AB$11:AB$333,1)+COUNTIF(AB$11:AB161,AB161)-1)))</f>
        <v/>
      </c>
      <c r="AD161" s="173"/>
      <c r="AE161" s="45">
        <f>IF(I$8="A",(RANK(AG161,AG$11:AG$333,1)+COUNTIF(AG$11:AG161,AG161)-1),(RANK(AG161,AG$11:AG$333)+COUNTIF(AG$11:AG161,AG161)-1))</f>
        <v>150</v>
      </c>
      <c r="AF161" t="str">
        <f>VLOOKUP(Profile!$J$5,Families!$C:$R,2,FALSE)</f>
        <v>Cheshire West &amp; Chester</v>
      </c>
      <c r="AG161" s="15">
        <f t="shared" si="76"/>
        <v>100</v>
      </c>
      <c r="AH161" s="46">
        <f t="shared" si="64"/>
        <v>150</v>
      </c>
      <c r="AI161" s="5" t="str">
        <f>IF(L161="","",VLOOKUP($L161,classifications!$C:$J,8,FALSE))</f>
        <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100</v>
      </c>
    </row>
    <row r="162" spans="1:50">
      <c r="A162" s="55" t="str">
        <f>$D$1&amp;152</f>
        <v>UA152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t="str">
        <f t="shared" si="75"/>
        <v/>
      </c>
      <c r="L162" t="str">
        <f t="shared" si="69"/>
        <v/>
      </c>
      <c r="M162" s="109" t="str">
        <f t="shared" si="70"/>
        <v/>
      </c>
      <c r="N162" s="104" t="str">
        <f t="shared" si="55"/>
        <v/>
      </c>
      <c r="O162" s="89" t="str">
        <f t="shared" si="56"/>
        <v/>
      </c>
      <c r="P162" s="89" t="str">
        <f t="shared" si="57"/>
        <v/>
      </c>
      <c r="Q162" s="89" t="str">
        <f t="shared" si="58"/>
        <v/>
      </c>
      <c r="R162" s="85" t="str">
        <f t="shared" si="59"/>
        <v/>
      </c>
      <c r="S162" s="41" t="str">
        <f t="shared" si="60"/>
        <v/>
      </c>
      <c r="T162" s="166" t="str">
        <f>IF(L162="","",VLOOKUP(L162,classifications!C:K,9,FALSE))</f>
        <v/>
      </c>
      <c r="U162" s="167" t="str">
        <f t="shared" si="61"/>
        <v/>
      </c>
      <c r="V162" s="173" t="str">
        <f>IF(U162="","",IF($I$8="A",(RANK(U162,U$11:U$333)+COUNTIF(U$11:U162,U162)-1),(RANK(U162,U$11:U$333,1)+COUNTIF(U$11:U162,U162)-1)))</f>
        <v/>
      </c>
      <c r="W162" s="174"/>
      <c r="X162" s="5" t="str">
        <f>IF(L162="","",VLOOKUP($L162,classifications!$C:$J,6,FALSE))</f>
        <v/>
      </c>
      <c r="Y162" t="str">
        <f t="shared" si="62"/>
        <v/>
      </c>
      <c r="Z162" s="39" t="str">
        <f>IF(Y162="","",IF(I$8="A",(RANK(Y162,Y$11:Y$333,1)+COUNTIF(Y$11:Y162,Y162)-1),(RANK(Y162,Y$11:Y$333)+COUNTIF(Y$11:Y162,Y162)-1)))</f>
        <v/>
      </c>
      <c r="AA162" s="177" t="str">
        <f>IF(L162="","",VLOOKUP($L162,classifications!C:I,7,FALSE))</f>
        <v/>
      </c>
      <c r="AB162" s="173" t="str">
        <f t="shared" si="63"/>
        <v/>
      </c>
      <c r="AC162" s="173" t="str">
        <f>IF(AB162="","",IF($I$8="A",(RANK(AB162,AB$11:AB$333)+COUNTIF(AB$11:AB162,AB162)-1),(RANK(AB162,AB$11:AB$333,1)+COUNTIF(AB$11:AB162,AB162)-1)))</f>
        <v/>
      </c>
      <c r="AD162" s="173"/>
      <c r="AE162" s="45">
        <f>IF(I$8="A",(RANK(AG162,AG$11:AG$333,1)+COUNTIF(AG$11:AG162,AG162)-1),(RANK(AG162,AG$11:AG$333)+COUNTIF(AG$11:AG162,AG162)-1))</f>
        <v>151</v>
      </c>
      <c r="AF162" t="str">
        <f>VLOOKUP(Profile!$J$5,Families!$C:$R,2,FALSE)</f>
        <v>Cheshire West &amp; Chester</v>
      </c>
      <c r="AG162" s="15">
        <f t="shared" si="76"/>
        <v>100</v>
      </c>
      <c r="AH162" s="46">
        <f t="shared" si="64"/>
        <v>151</v>
      </c>
      <c r="AI162" s="5" t="str">
        <f>IF(L162="","",VLOOKUP($L162,classifications!$C:$J,8,FALSE))</f>
        <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UA153</v>
      </c>
      <c r="B163" s="56">
        <f>IF(ISERROR(VLOOKUP(A163,classifications!A:C,3,FALSE)),0,VLOOKUP(A163,classifications!A:C,3,FALSE))</f>
        <v>0</v>
      </c>
      <c r="C163" t="s">
        <v>94</v>
      </c>
      <c r="D163" t="str">
        <f>VLOOKUP($C163,classifications!$C:$J,4,FALSE)</f>
        <v>SD</v>
      </c>
      <c r="E163" t="str">
        <f>VLOOKUP(C163,classifications!C:K,9,FALSE)</f>
        <v>Sparse</v>
      </c>
      <c r="F163">
        <f t="shared" si="67"/>
        <v>62.5</v>
      </c>
      <c r="G163" s="15"/>
      <c r="H163" s="41" t="str">
        <f t="shared" si="68"/>
        <v/>
      </c>
      <c r="I163" s="73" t="str">
        <f>IF(H163="","",IF($I$8="A",(RANK(H163,H$11:H$333,1)+COUNTIF(H$11:H163,H163)-1),(RANK(H163,H$11:H$333)+COUNTIF(H$11:H163,H163)-1)))</f>
        <v/>
      </c>
      <c r="J163" s="40"/>
      <c r="K163" s="35" t="str">
        <f t="shared" si="75"/>
        <v/>
      </c>
      <c r="L163" t="str">
        <f t="shared" si="69"/>
        <v/>
      </c>
      <c r="M163" s="109" t="str">
        <f t="shared" si="70"/>
        <v/>
      </c>
      <c r="N163" s="104" t="str">
        <f t="shared" si="55"/>
        <v/>
      </c>
      <c r="O163" s="89" t="str">
        <f t="shared" si="56"/>
        <v/>
      </c>
      <c r="P163" s="89" t="str">
        <f t="shared" si="57"/>
        <v/>
      </c>
      <c r="Q163" s="89" t="str">
        <f t="shared" si="58"/>
        <v/>
      </c>
      <c r="R163" s="85" t="str">
        <f t="shared" si="59"/>
        <v/>
      </c>
      <c r="S163" s="41" t="str">
        <f t="shared" si="60"/>
        <v/>
      </c>
      <c r="T163" s="166" t="str">
        <f>IF(L163="","",VLOOKUP(L163,classifications!C:K,9,FALSE))</f>
        <v/>
      </c>
      <c r="U163" s="167" t="str">
        <f t="shared" si="61"/>
        <v/>
      </c>
      <c r="V163" s="173" t="str">
        <f>IF(U163="","",IF($I$8="A",(RANK(U163,U$11:U$333)+COUNTIF(U$11:U163,U163)-1),(RANK(U163,U$11:U$333,1)+COUNTIF(U$11:U163,U163)-1)))</f>
        <v/>
      </c>
      <c r="W163" s="174"/>
      <c r="X163" s="5" t="str">
        <f>IF(L163="","",VLOOKUP($L163,classifications!$C:$J,6,FALSE))</f>
        <v/>
      </c>
      <c r="Y163" t="str">
        <f t="shared" si="62"/>
        <v/>
      </c>
      <c r="Z163" s="39" t="str">
        <f>IF(Y163="","",IF(I$8="A",(RANK(Y163,Y$11:Y$333,1)+COUNTIF(Y$11:Y163,Y163)-1),(RANK(Y163,Y$11:Y$333)+COUNTIF(Y$11:Y163,Y163)-1)))</f>
        <v/>
      </c>
      <c r="AA163" s="177" t="str">
        <f>IF(L163="","",VLOOKUP($L163,classifications!C:I,7,FALSE))</f>
        <v/>
      </c>
      <c r="AB163" s="173" t="str">
        <f t="shared" si="63"/>
        <v/>
      </c>
      <c r="AC163" s="173" t="str">
        <f>IF(AB163="","",IF($I$8="A",(RANK(AB163,AB$11:AB$333)+COUNTIF(AB$11:AB163,AB163)-1),(RANK(AB163,AB$11:AB$333,1)+COUNTIF(AB$11:AB163,AB163)-1)))</f>
        <v/>
      </c>
      <c r="AD163" s="173"/>
      <c r="AE163" s="45">
        <f>IF(I$8="A",(RANK(AG163,AG$11:AG$333,1)+COUNTIF(AG$11:AG163,AG163)-1),(RANK(AG163,AG$11:AG$333)+COUNTIF(AG$11:AG163,AG163)-1))</f>
        <v>152</v>
      </c>
      <c r="AF163" t="str">
        <f>VLOOKUP(Profile!$J$5,Families!$C:$R,2,FALSE)</f>
        <v>Cheshire West &amp; Chester</v>
      </c>
      <c r="AG163" s="15">
        <f t="shared" si="76"/>
        <v>100</v>
      </c>
      <c r="AH163" s="46">
        <f t="shared" si="64"/>
        <v>152</v>
      </c>
      <c r="AI163" s="5" t="str">
        <f>IF(L163="","",VLOOKUP($L163,classifications!$C:$J,8,FALSE))</f>
        <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62.5</v>
      </c>
    </row>
    <row r="164" spans="1:50">
      <c r="A164" s="55" t="str">
        <f>$D$1&amp;154</f>
        <v>UA154</v>
      </c>
      <c r="B164" s="56">
        <f>IF(ISERROR(VLOOKUP(A164,classifications!A:C,3,FALSE)),0,VLOOKUP(A164,classifications!A:C,3,FALSE))</f>
        <v>0</v>
      </c>
      <c r="C164" t="s">
        <v>95</v>
      </c>
      <c r="D164" t="str">
        <f>VLOOKUP($C164,classifications!$C:$J,4,FALSE)</f>
        <v>SD</v>
      </c>
      <c r="E164">
        <f>VLOOKUP(C164,classifications!C:K,9,FALSE)</f>
        <v>0</v>
      </c>
      <c r="F164">
        <f t="shared" si="67"/>
        <v>0</v>
      </c>
      <c r="G164" s="15"/>
      <c r="H164" s="41" t="str">
        <f t="shared" si="68"/>
        <v/>
      </c>
      <c r="I164" s="73" t="str">
        <f>IF(H164="","",IF($I$8="A",(RANK(H164,H$11:H$333,1)+COUNTIF(H$11:H164,H164)-1),(RANK(H164,H$11:H$333)+COUNTIF(H$11:H164,H164)-1)))</f>
        <v/>
      </c>
      <c r="J164" s="40"/>
      <c r="K164" s="35" t="str">
        <f t="shared" si="75"/>
        <v/>
      </c>
      <c r="L164" t="str">
        <f t="shared" si="69"/>
        <v/>
      </c>
      <c r="M164" s="109" t="str">
        <f t="shared" si="70"/>
        <v/>
      </c>
      <c r="N164" s="104" t="str">
        <f t="shared" si="55"/>
        <v/>
      </c>
      <c r="O164" s="89" t="str">
        <f t="shared" si="56"/>
        <v/>
      </c>
      <c r="P164" s="89" t="str">
        <f t="shared" si="57"/>
        <v/>
      </c>
      <c r="Q164" s="89" t="str">
        <f t="shared" si="58"/>
        <v/>
      </c>
      <c r="R164" s="85" t="str">
        <f t="shared" si="59"/>
        <v/>
      </c>
      <c r="S164" s="41" t="str">
        <f t="shared" si="60"/>
        <v/>
      </c>
      <c r="T164" s="166" t="str">
        <f>IF(L164="","",VLOOKUP(L164,classifications!C:K,9,FALSE))</f>
        <v/>
      </c>
      <c r="U164" s="167" t="str">
        <f t="shared" si="61"/>
        <v/>
      </c>
      <c r="V164" s="173" t="str">
        <f>IF(U164="","",IF($I$8="A",(RANK(U164,U$11:U$333)+COUNTIF(U$11:U164,U164)-1),(RANK(U164,U$11:U$333,1)+COUNTIF(U$11:U164,U164)-1)))</f>
        <v/>
      </c>
      <c r="W164" s="174"/>
      <c r="X164" s="5" t="str">
        <f>IF(L164="","",VLOOKUP($L164,classifications!$C:$J,6,FALSE))</f>
        <v/>
      </c>
      <c r="Y164" t="str">
        <f t="shared" si="62"/>
        <v/>
      </c>
      <c r="Z164" s="39" t="str">
        <f>IF(Y164="","",IF(I$8="A",(RANK(Y164,Y$11:Y$333,1)+COUNTIF(Y$11:Y164,Y164)-1),(RANK(Y164,Y$11:Y$333)+COUNTIF(Y$11:Y164,Y164)-1)))</f>
        <v/>
      </c>
      <c r="AA164" s="177" t="str">
        <f>IF(L164="","",VLOOKUP($L164,classifications!C:I,7,FALSE))</f>
        <v/>
      </c>
      <c r="AB164" s="173" t="str">
        <f t="shared" si="63"/>
        <v/>
      </c>
      <c r="AC164" s="173" t="str">
        <f>IF(AB164="","",IF($I$8="A",(RANK(AB164,AB$11:AB$333)+COUNTIF(AB$11:AB164,AB164)-1),(RANK(AB164,AB$11:AB$333,1)+COUNTIF(AB$11:AB164,AB164)-1)))</f>
        <v/>
      </c>
      <c r="AD164" s="173"/>
      <c r="AE164" s="45">
        <f>IF(I$8="A",(RANK(AG164,AG$11:AG$333,1)+COUNTIF(AG$11:AG164,AG164)-1),(RANK(AG164,AG$11:AG$333)+COUNTIF(AG$11:AG164,AG164)-1))</f>
        <v>153</v>
      </c>
      <c r="AF164" t="str">
        <f>VLOOKUP(Profile!$J$5,Families!$C:$R,2,FALSE)</f>
        <v>Cheshire West &amp; Chester</v>
      </c>
      <c r="AG164" s="15">
        <f t="shared" si="76"/>
        <v>100</v>
      </c>
      <c r="AH164" s="46">
        <f t="shared" si="64"/>
        <v>153</v>
      </c>
      <c r="AI164" s="5" t="str">
        <f>IF(L164="","",VLOOKUP($L164,classifications!$C:$J,8,FALSE))</f>
        <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0</v>
      </c>
    </row>
    <row r="165" spans="1:50">
      <c r="A165" s="55" t="str">
        <f>$D$1&amp;155</f>
        <v>UA155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t="str">
        <f t="shared" si="75"/>
        <v/>
      </c>
      <c r="L165" t="str">
        <f t="shared" si="69"/>
        <v/>
      </c>
      <c r="M165" s="109" t="str">
        <f t="shared" si="70"/>
        <v/>
      </c>
      <c r="N165" s="104" t="str">
        <f t="shared" si="55"/>
        <v/>
      </c>
      <c r="O165" s="89" t="str">
        <f t="shared" si="56"/>
        <v/>
      </c>
      <c r="P165" s="89" t="str">
        <f t="shared" si="57"/>
        <v/>
      </c>
      <c r="Q165" s="89" t="str">
        <f t="shared" si="58"/>
        <v/>
      </c>
      <c r="R165" s="85" t="str">
        <f t="shared" si="59"/>
        <v/>
      </c>
      <c r="S165" s="41" t="str">
        <f t="shared" si="60"/>
        <v/>
      </c>
      <c r="T165" s="166" t="str">
        <f>IF(L165="","",VLOOKUP(L165,classifications!C:K,9,FALSE))</f>
        <v/>
      </c>
      <c r="U165" s="167" t="str">
        <f t="shared" si="61"/>
        <v/>
      </c>
      <c r="V165" s="173" t="str">
        <f>IF(U165="","",IF($I$8="A",(RANK(U165,U$11:U$333)+COUNTIF(U$11:U165,U165)-1),(RANK(U165,U$11:U$333,1)+COUNTIF(U$11:U165,U165)-1)))</f>
        <v/>
      </c>
      <c r="W165" s="174"/>
      <c r="X165" s="5" t="str">
        <f>IF(L165="","",VLOOKUP($L165,classifications!$C:$J,6,FALSE))</f>
        <v/>
      </c>
      <c r="Y165" t="str">
        <f t="shared" si="62"/>
        <v/>
      </c>
      <c r="Z165" s="39" t="str">
        <f>IF(Y165="","",IF(I$8="A",(RANK(Y165,Y$11:Y$333,1)+COUNTIF(Y$11:Y165,Y165)-1),(RANK(Y165,Y$11:Y$333)+COUNTIF(Y$11:Y165,Y165)-1)))</f>
        <v/>
      </c>
      <c r="AA165" s="177" t="str">
        <f>IF(L165="","",VLOOKUP($L165,classifications!C:I,7,FALSE))</f>
        <v/>
      </c>
      <c r="AB165" s="173" t="str">
        <f t="shared" si="63"/>
        <v/>
      </c>
      <c r="AC165" s="173" t="str">
        <f>IF(AB165="","",IF($I$8="A",(RANK(AB165,AB$11:AB$333)+COUNTIF(AB$11:AB165,AB165)-1),(RANK(AB165,AB$11:AB$333,1)+COUNTIF(AB$11:AB165,AB165)-1)))</f>
        <v/>
      </c>
      <c r="AD165" s="173"/>
      <c r="AE165" s="45">
        <f>IF(I$8="A",(RANK(AG165,AG$11:AG$333,1)+COUNTIF(AG$11:AG165,AG165)-1),(RANK(AG165,AG$11:AG$333)+COUNTIF(AG$11:AG165,AG165)-1))</f>
        <v>154</v>
      </c>
      <c r="AF165" t="str">
        <f>VLOOKUP(Profile!$J$5,Families!$C:$R,2,FALSE)</f>
        <v>Cheshire West &amp; Chester</v>
      </c>
      <c r="AG165" s="15">
        <f t="shared" si="76"/>
        <v>100</v>
      </c>
      <c r="AH165" s="46">
        <f t="shared" si="64"/>
        <v>154</v>
      </c>
      <c r="AI165" s="5" t="str">
        <f>IF(L165="","",VLOOKUP($L165,classifications!$C:$J,8,FALSE))</f>
        <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UA156</v>
      </c>
      <c r="B166" s="56">
        <f>IF(ISERROR(VLOOKUP(A166,classifications!A:C,3,FALSE)),0,VLOOKUP(A166,classifications!A:C,3,FALSE))</f>
        <v>0</v>
      </c>
      <c r="C166" t="s">
        <v>235</v>
      </c>
      <c r="D166" t="str">
        <f>VLOOKUP($C166,classifications!$C:$J,4,FALSE)</f>
        <v>MD</v>
      </c>
      <c r="E166">
        <f>VLOOKUP(C166,classifications!C:K,9,FALSE)</f>
        <v>0</v>
      </c>
      <c r="F166">
        <f t="shared" si="67"/>
        <v>83.333333333333343</v>
      </c>
      <c r="G166" s="15"/>
      <c r="H166" s="41" t="str">
        <f t="shared" si="68"/>
        <v/>
      </c>
      <c r="I166" s="73" t="str">
        <f>IF(H166="","",IF($I$8="A",(RANK(H166,H$11:H$333,1)+COUNTIF(H$11:H166,H166)-1),(RANK(H166,H$11:H$333)+COUNTIF(H$11:H166,H166)-1)))</f>
        <v/>
      </c>
      <c r="J166" s="40"/>
      <c r="K166" s="35" t="str">
        <f t="shared" si="75"/>
        <v/>
      </c>
      <c r="L166" t="str">
        <f t="shared" si="69"/>
        <v/>
      </c>
      <c r="M166" s="109" t="str">
        <f t="shared" si="70"/>
        <v/>
      </c>
      <c r="N166" s="104" t="str">
        <f t="shared" si="55"/>
        <v/>
      </c>
      <c r="O166" s="89" t="str">
        <f t="shared" si="56"/>
        <v/>
      </c>
      <c r="P166" s="89" t="str">
        <f t="shared" si="57"/>
        <v/>
      </c>
      <c r="Q166" s="89" t="str">
        <f t="shared" si="58"/>
        <v/>
      </c>
      <c r="R166" s="85" t="str">
        <f t="shared" si="59"/>
        <v/>
      </c>
      <c r="S166" s="41" t="str">
        <f t="shared" si="60"/>
        <v/>
      </c>
      <c r="T166" s="166" t="str">
        <f>IF(L166="","",VLOOKUP(L166,classifications!C:K,9,FALSE))</f>
        <v/>
      </c>
      <c r="U166" s="167" t="str">
        <f t="shared" si="61"/>
        <v/>
      </c>
      <c r="V166" s="173" t="str">
        <f>IF(U166="","",IF($I$8="A",(RANK(U166,U$11:U$333)+COUNTIF(U$11:U166,U166)-1),(RANK(U166,U$11:U$333,1)+COUNTIF(U$11:U166,U166)-1)))</f>
        <v/>
      </c>
      <c r="W166" s="174"/>
      <c r="X166" s="5" t="str">
        <f>IF(L166="","",VLOOKUP($L166,classifications!$C:$J,6,FALSE))</f>
        <v/>
      </c>
      <c r="Y166" t="str">
        <f t="shared" si="62"/>
        <v/>
      </c>
      <c r="Z166" s="39" t="str">
        <f>IF(Y166="","",IF(I$8="A",(RANK(Y166,Y$11:Y$333,1)+COUNTIF(Y$11:Y166,Y166)-1),(RANK(Y166,Y$11:Y$333)+COUNTIF(Y$11:Y166,Y166)-1)))</f>
        <v/>
      </c>
      <c r="AA166" s="177" t="str">
        <f>IF(L166="","",VLOOKUP($L166,classifications!C:I,7,FALSE))</f>
        <v/>
      </c>
      <c r="AB166" s="173" t="str">
        <f t="shared" si="63"/>
        <v/>
      </c>
      <c r="AC166" s="173" t="str">
        <f>IF(AB166="","",IF($I$8="A",(RANK(AB166,AB$11:AB$333)+COUNTIF(AB$11:AB166,AB166)-1),(RANK(AB166,AB$11:AB$333,1)+COUNTIF(AB$11:AB166,AB166)-1)))</f>
        <v/>
      </c>
      <c r="AD166" s="173"/>
      <c r="AE166" s="45">
        <f>IF(I$8="A",(RANK(AG166,AG$11:AG$333,1)+COUNTIF(AG$11:AG166,AG166)-1),(RANK(AG166,AG$11:AG$333)+COUNTIF(AG$11:AG166,AG166)-1))</f>
        <v>155</v>
      </c>
      <c r="AF166" t="str">
        <f>VLOOKUP(Profile!$J$5,Families!$C:$R,2,FALSE)</f>
        <v>Cheshire West &amp; Chester</v>
      </c>
      <c r="AG166" s="15">
        <f t="shared" si="76"/>
        <v>100</v>
      </c>
      <c r="AH166" s="46">
        <f t="shared" si="64"/>
        <v>155</v>
      </c>
      <c r="AI166" s="5" t="str">
        <f>IF(L166="","",VLOOKUP($L166,classifications!$C:$J,8,FALSE))</f>
        <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83.333333333333343</v>
      </c>
    </row>
    <row r="167" spans="1:50">
      <c r="A167" s="55" t="str">
        <f>$D$1&amp;157</f>
        <v>UA157</v>
      </c>
      <c r="B167" s="56">
        <f>IF(ISERROR(VLOOKUP(A167,classifications!A:C,3,FALSE)),0,VLOOKUP(A167,classifications!A:C,3,FALSE))</f>
        <v>0</v>
      </c>
      <c r="C167" t="s">
        <v>272</v>
      </c>
      <c r="D167" t="str">
        <f>VLOOKUP($C167,classifications!$C:$J,4,FALSE)</f>
        <v>UA</v>
      </c>
      <c r="E167">
        <f>VLOOKUP(C167,classifications!C:K,9,FALSE)</f>
        <v>0</v>
      </c>
      <c r="F167">
        <f t="shared" si="67"/>
        <v>83.333333333333343</v>
      </c>
      <c r="G167" s="15"/>
      <c r="H167" s="41">
        <f t="shared" si="68"/>
        <v>83.333333333333343</v>
      </c>
      <c r="I167" s="73">
        <f>IF(H167="","",IF($I$8="A",(RANK(H167,H$11:H$333,1)+COUNTIF(H$11:H167,H167)-1),(RANK(H167,H$11:H$333)+COUNTIF(H$11:H167,H167)-1)))</f>
        <v>48</v>
      </c>
      <c r="J167" s="40"/>
      <c r="K167" s="35" t="str">
        <f t="shared" si="75"/>
        <v/>
      </c>
      <c r="L167" t="str">
        <f t="shared" si="69"/>
        <v/>
      </c>
      <c r="M167" s="109" t="str">
        <f t="shared" si="70"/>
        <v/>
      </c>
      <c r="N167" s="104" t="str">
        <f t="shared" si="55"/>
        <v/>
      </c>
      <c r="O167" s="89" t="str">
        <f t="shared" si="56"/>
        <v/>
      </c>
      <c r="P167" s="89" t="str">
        <f t="shared" si="57"/>
        <v/>
      </c>
      <c r="Q167" s="89" t="str">
        <f t="shared" si="58"/>
        <v/>
      </c>
      <c r="R167" s="85" t="str">
        <f t="shared" si="59"/>
        <v/>
      </c>
      <c r="S167" s="41" t="str">
        <f t="shared" si="60"/>
        <v/>
      </c>
      <c r="T167" s="166" t="str">
        <f>IF(L167="","",VLOOKUP(L167,classifications!C:K,9,FALSE))</f>
        <v/>
      </c>
      <c r="U167" s="167" t="str">
        <f t="shared" si="61"/>
        <v/>
      </c>
      <c r="V167" s="173" t="str">
        <f>IF(U167="","",IF($I$8="A",(RANK(U167,U$11:U$333)+COUNTIF(U$11:U167,U167)-1),(RANK(U167,U$11:U$333,1)+COUNTIF(U$11:U167,U167)-1)))</f>
        <v/>
      </c>
      <c r="W167" s="174"/>
      <c r="X167" s="5" t="str">
        <f>IF(L167="","",VLOOKUP($L167,classifications!$C:$J,6,FALSE))</f>
        <v/>
      </c>
      <c r="Y167" t="str">
        <f t="shared" si="62"/>
        <v/>
      </c>
      <c r="Z167" s="39" t="str">
        <f>IF(Y167="","",IF(I$8="A",(RANK(Y167,Y$11:Y$333,1)+COUNTIF(Y$11:Y167,Y167)-1),(RANK(Y167,Y$11:Y$333)+COUNTIF(Y$11:Y167,Y167)-1)))</f>
        <v/>
      </c>
      <c r="AA167" s="177" t="str">
        <f>IF(L167="","",VLOOKUP($L167,classifications!C:I,7,FALSE))</f>
        <v/>
      </c>
      <c r="AB167" s="173" t="str">
        <f t="shared" si="63"/>
        <v/>
      </c>
      <c r="AC167" s="173" t="str">
        <f>IF(AB167="","",IF($I$8="A",(RANK(AB167,AB$11:AB$333)+COUNTIF(AB$11:AB167,AB167)-1),(RANK(AB167,AB$11:AB$333,1)+COUNTIF(AB$11:AB167,AB167)-1)))</f>
        <v/>
      </c>
      <c r="AD167" s="173"/>
      <c r="AE167" s="45">
        <f>IF(I$8="A",(RANK(AG167,AG$11:AG$333,1)+COUNTIF(AG$11:AG167,AG167)-1),(RANK(AG167,AG$11:AG$333)+COUNTIF(AG$11:AG167,AG167)-1))</f>
        <v>156</v>
      </c>
      <c r="AF167" t="str">
        <f>VLOOKUP(Profile!$J$5,Families!$C:$R,2,FALSE)</f>
        <v>Cheshire West &amp; Chester</v>
      </c>
      <c r="AG167" s="15">
        <f t="shared" si="76"/>
        <v>100</v>
      </c>
      <c r="AH167" s="46">
        <f t="shared" si="64"/>
        <v>156</v>
      </c>
      <c r="AI167" s="5" t="str">
        <f>IF(L167="","",VLOOKUP($L167,classifications!$C:$J,8,FALSE))</f>
        <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83.333333333333343</v>
      </c>
    </row>
    <row r="168" spans="1:50">
      <c r="A168" s="55" t="str">
        <f>$D$1&amp;158</f>
        <v>UA158</v>
      </c>
      <c r="B168" s="56">
        <f>IF(ISERROR(VLOOKUP(A168,classifications!A:C,3,FALSE)),0,VLOOKUP(A168,classifications!A:C,3,FALSE))</f>
        <v>0</v>
      </c>
      <c r="C168" t="s">
        <v>96</v>
      </c>
      <c r="D168" t="str">
        <f>VLOOKUP($C168,classifications!$C:$J,4,FALSE)</f>
        <v>SD</v>
      </c>
      <c r="E168">
        <f>VLOOKUP(C168,classifications!C:K,9,FALSE)</f>
        <v>0</v>
      </c>
      <c r="F168">
        <f t="shared" si="67"/>
        <v>100</v>
      </c>
      <c r="G168" s="15"/>
      <c r="H168" s="41" t="str">
        <f t="shared" si="68"/>
        <v/>
      </c>
      <c r="I168" s="73" t="str">
        <f>IF(H168="","",IF($I$8="A",(RANK(H168,H$11:H$333,1)+COUNTIF(H$11:H168,H168)-1),(RANK(H168,H$11:H$333)+COUNTIF(H$11:H168,H168)-1)))</f>
        <v/>
      </c>
      <c r="J168" s="40"/>
      <c r="K168" s="35" t="str">
        <f t="shared" si="75"/>
        <v/>
      </c>
      <c r="L168" t="str">
        <f t="shared" si="69"/>
        <v/>
      </c>
      <c r="M168" s="109" t="str">
        <f t="shared" si="70"/>
        <v/>
      </c>
      <c r="N168" s="104" t="str">
        <f t="shared" si="55"/>
        <v/>
      </c>
      <c r="O168" s="89" t="str">
        <f t="shared" si="56"/>
        <v/>
      </c>
      <c r="P168" s="89" t="str">
        <f t="shared" si="57"/>
        <v/>
      </c>
      <c r="Q168" s="89" t="str">
        <f t="shared" si="58"/>
        <v/>
      </c>
      <c r="R168" s="85" t="str">
        <f t="shared" si="59"/>
        <v/>
      </c>
      <c r="S168" s="41" t="str">
        <f t="shared" si="60"/>
        <v/>
      </c>
      <c r="T168" s="166" t="str">
        <f>IF(L168="","",VLOOKUP(L168,classifications!C:K,9,FALSE))</f>
        <v/>
      </c>
      <c r="U168" s="167" t="str">
        <f t="shared" si="61"/>
        <v/>
      </c>
      <c r="V168" s="173" t="str">
        <f>IF(U168="","",IF($I$8="A",(RANK(U168,U$11:U$333)+COUNTIF(U$11:U168,U168)-1),(RANK(U168,U$11:U$333,1)+COUNTIF(U$11:U168,U168)-1)))</f>
        <v/>
      </c>
      <c r="W168" s="174"/>
      <c r="X168" s="5" t="str">
        <f>IF(L168="","",VLOOKUP($L168,classifications!$C:$J,6,FALSE))</f>
        <v/>
      </c>
      <c r="Y168" t="str">
        <f t="shared" si="62"/>
        <v/>
      </c>
      <c r="Z168" s="39" t="str">
        <f>IF(Y168="","",IF(I$8="A",(RANK(Y168,Y$11:Y$333,1)+COUNTIF(Y$11:Y168,Y168)-1),(RANK(Y168,Y$11:Y$333)+COUNTIF(Y$11:Y168,Y168)-1)))</f>
        <v/>
      </c>
      <c r="AA168" s="177" t="str">
        <f>IF(L168="","",VLOOKUP($L168,classifications!C:I,7,FALSE))</f>
        <v/>
      </c>
      <c r="AB168" s="173" t="str">
        <f t="shared" si="63"/>
        <v/>
      </c>
      <c r="AC168" s="173" t="str">
        <f>IF(AB168="","",IF($I$8="A",(RANK(AB168,AB$11:AB$333)+COUNTIF(AB$11:AB168,AB168)-1),(RANK(AB168,AB$11:AB$333,1)+COUNTIF(AB$11:AB168,AB168)-1)))</f>
        <v/>
      </c>
      <c r="AD168" s="173"/>
      <c r="AE168" s="45">
        <f>IF(I$8="A",(RANK(AG168,AG$11:AG$333,1)+COUNTIF(AG$11:AG168,AG168)-1),(RANK(AG168,AG$11:AG$333)+COUNTIF(AG$11:AG168,AG168)-1))</f>
        <v>157</v>
      </c>
      <c r="AF168" t="str">
        <f>VLOOKUP(Profile!$J$5,Families!$C:$R,2,FALSE)</f>
        <v>Cheshire West &amp; Chester</v>
      </c>
      <c r="AG168" s="15">
        <f t="shared" si="76"/>
        <v>100</v>
      </c>
      <c r="AH168" s="46">
        <f t="shared" si="64"/>
        <v>157</v>
      </c>
      <c r="AI168" s="5" t="str">
        <f>IF(L168="","",VLOOKUP($L168,classifications!$C:$J,8,FALSE))</f>
        <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100</v>
      </c>
    </row>
    <row r="169" spans="1:50">
      <c r="A169" s="55" t="str">
        <f>$D$1&amp;159</f>
        <v>UA159</v>
      </c>
      <c r="B169" s="56">
        <f>IF(ISERROR(VLOOKUP(A169,classifications!A:C,3,FALSE)),0,VLOOKUP(A169,classifications!A:C,3,FALSE))</f>
        <v>0</v>
      </c>
      <c r="C169" t="s">
        <v>97</v>
      </c>
      <c r="D169" t="str">
        <f>VLOOKUP($C169,classifications!$C:$J,4,FALSE)</f>
        <v>SD</v>
      </c>
      <c r="E169">
        <f>VLOOKUP(C169,classifications!C:K,9,FALSE)</f>
        <v>0</v>
      </c>
      <c r="F169">
        <f t="shared" si="67"/>
        <v>83.333333333333343</v>
      </c>
      <c r="G169" s="15"/>
      <c r="H169" s="41" t="str">
        <f t="shared" si="68"/>
        <v/>
      </c>
      <c r="I169" s="73" t="str">
        <f>IF(H169="","",IF($I$8="A",(RANK(H169,H$11:H$333,1)+COUNTIF(H$11:H169,H169)-1),(RANK(H169,H$11:H$333)+COUNTIF(H$11:H169,H169)-1)))</f>
        <v/>
      </c>
      <c r="J169" s="40"/>
      <c r="K169" s="35" t="str">
        <f t="shared" si="75"/>
        <v/>
      </c>
      <c r="L169" t="str">
        <f t="shared" si="69"/>
        <v/>
      </c>
      <c r="M169" s="109" t="str">
        <f t="shared" si="70"/>
        <v/>
      </c>
      <c r="N169" s="104" t="str">
        <f t="shared" si="55"/>
        <v/>
      </c>
      <c r="O169" s="89" t="str">
        <f t="shared" si="56"/>
        <v/>
      </c>
      <c r="P169" s="89" t="str">
        <f t="shared" si="57"/>
        <v/>
      </c>
      <c r="Q169" s="89" t="str">
        <f t="shared" si="58"/>
        <v/>
      </c>
      <c r="R169" s="85" t="str">
        <f t="shared" si="59"/>
        <v/>
      </c>
      <c r="S169" s="41" t="str">
        <f t="shared" si="60"/>
        <v/>
      </c>
      <c r="T169" s="166" t="str">
        <f>IF(L169="","",VLOOKUP(L169,classifications!C:K,9,FALSE))</f>
        <v/>
      </c>
      <c r="U169" s="167" t="str">
        <f t="shared" si="61"/>
        <v/>
      </c>
      <c r="V169" s="173" t="str">
        <f>IF(U169="","",IF($I$8="A",(RANK(U169,U$11:U$333)+COUNTIF(U$11:U169,U169)-1),(RANK(U169,U$11:U$333,1)+COUNTIF(U$11:U169,U169)-1)))</f>
        <v/>
      </c>
      <c r="W169" s="174"/>
      <c r="X169" s="5" t="str">
        <f>IF(L169="","",VLOOKUP($L169,classifications!$C:$J,6,FALSE))</f>
        <v/>
      </c>
      <c r="Y169" t="str">
        <f t="shared" si="62"/>
        <v/>
      </c>
      <c r="Z169" s="39" t="str">
        <f>IF(Y169="","",IF(I$8="A",(RANK(Y169,Y$11:Y$333,1)+COUNTIF(Y$11:Y169,Y169)-1),(RANK(Y169,Y$11:Y$333)+COUNTIF(Y$11:Y169,Y169)-1)))</f>
        <v/>
      </c>
      <c r="AA169" s="177" t="str">
        <f>IF(L169="","",VLOOKUP($L169,classifications!C:I,7,FALSE))</f>
        <v/>
      </c>
      <c r="AB169" s="173" t="str">
        <f t="shared" si="63"/>
        <v/>
      </c>
      <c r="AC169" s="173" t="str">
        <f>IF(AB169="","",IF($I$8="A",(RANK(AB169,AB$11:AB$333)+COUNTIF(AB$11:AB169,AB169)-1),(RANK(AB169,AB$11:AB$333,1)+COUNTIF(AB$11:AB169,AB169)-1)))</f>
        <v/>
      </c>
      <c r="AD169" s="173"/>
      <c r="AE169" s="45">
        <f>IF(I$8="A",(RANK(AG169,AG$11:AG$333,1)+COUNTIF(AG$11:AG169,AG169)-1),(RANK(AG169,AG$11:AG$333)+COUNTIF(AG$11:AG169,AG169)-1))</f>
        <v>158</v>
      </c>
      <c r="AF169" t="str">
        <f>VLOOKUP(Profile!$J$5,Families!$C:$R,2,FALSE)</f>
        <v>Cheshire West &amp; Chester</v>
      </c>
      <c r="AG169" s="15">
        <f t="shared" si="76"/>
        <v>100</v>
      </c>
      <c r="AH169" s="46">
        <f t="shared" si="64"/>
        <v>158</v>
      </c>
      <c r="AI169" s="5" t="str">
        <f>IF(L169="","",VLOOKUP($L169,classifications!$C:$J,8,FALSE))</f>
        <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83.333333333333343</v>
      </c>
    </row>
    <row r="170" spans="1:50">
      <c r="A170" s="55" t="str">
        <f>$D$1&amp;160</f>
        <v>UA160</v>
      </c>
      <c r="B170" s="56">
        <f>IF(ISERROR(VLOOKUP(A170,classifications!A:C,3,FALSE)),0,VLOOKUP(A170,classifications!A:C,3,FALSE))</f>
        <v>0</v>
      </c>
      <c r="C170" t="s">
        <v>98</v>
      </c>
      <c r="D170" t="str">
        <f>VLOOKUP($C170,classifications!$C:$J,4,FALSE)</f>
        <v>SD</v>
      </c>
      <c r="E170" t="str">
        <f>VLOOKUP(C170,classifications!C:K,9,FALSE)</f>
        <v>Sparse</v>
      </c>
      <c r="F170">
        <f t="shared" si="67"/>
        <v>75</v>
      </c>
      <c r="G170" s="15"/>
      <c r="H170" s="41" t="str">
        <f t="shared" si="68"/>
        <v/>
      </c>
      <c r="I170" s="73" t="str">
        <f>IF(H170="","",IF($I$8="A",(RANK(H170,H$11:H$333,1)+COUNTIF(H$11:H170,H170)-1),(RANK(H170,H$11:H$333)+COUNTIF(H$11:H170,H170)-1)))</f>
        <v/>
      </c>
      <c r="J170" s="40"/>
      <c r="K170" s="35" t="str">
        <f t="shared" si="75"/>
        <v/>
      </c>
      <c r="L170" t="str">
        <f t="shared" si="69"/>
        <v/>
      </c>
      <c r="M170" s="109" t="str">
        <f t="shared" si="70"/>
        <v/>
      </c>
      <c r="N170" s="104" t="str">
        <f t="shared" si="55"/>
        <v/>
      </c>
      <c r="O170" s="89" t="str">
        <f t="shared" si="56"/>
        <v/>
      </c>
      <c r="P170" s="89" t="str">
        <f t="shared" si="57"/>
        <v/>
      </c>
      <c r="Q170" s="89" t="str">
        <f t="shared" si="58"/>
        <v/>
      </c>
      <c r="R170" s="85" t="str">
        <f t="shared" si="59"/>
        <v/>
      </c>
      <c r="S170" s="41" t="str">
        <f t="shared" si="60"/>
        <v/>
      </c>
      <c r="T170" s="166" t="str">
        <f>IF(L170="","",VLOOKUP(L170,classifications!C:K,9,FALSE))</f>
        <v/>
      </c>
      <c r="U170" s="167" t="str">
        <f t="shared" si="61"/>
        <v/>
      </c>
      <c r="V170" s="173" t="str">
        <f>IF(U170="","",IF($I$8="A",(RANK(U170,U$11:U$333)+COUNTIF(U$11:U170,U170)-1),(RANK(U170,U$11:U$333,1)+COUNTIF(U$11:U170,U170)-1)))</f>
        <v/>
      </c>
      <c r="W170" s="174"/>
      <c r="X170" s="5" t="str">
        <f>IF(L170="","",VLOOKUP($L170,classifications!$C:$J,6,FALSE))</f>
        <v/>
      </c>
      <c r="Y170" t="str">
        <f t="shared" si="62"/>
        <v/>
      </c>
      <c r="Z170" s="39" t="str">
        <f>IF(Y170="","",IF(I$8="A",(RANK(Y170,Y$11:Y$333,1)+COUNTIF(Y$11:Y170,Y170)-1),(RANK(Y170,Y$11:Y$333)+COUNTIF(Y$11:Y170,Y170)-1)))</f>
        <v/>
      </c>
      <c r="AA170" s="177" t="str">
        <f>IF(L170="","",VLOOKUP($L170,classifications!C:I,7,FALSE))</f>
        <v/>
      </c>
      <c r="AB170" s="173" t="str">
        <f t="shared" si="63"/>
        <v/>
      </c>
      <c r="AC170" s="173" t="str">
        <f>IF(AB170="","",IF($I$8="A",(RANK(AB170,AB$11:AB$333)+COUNTIF(AB$11:AB170,AB170)-1),(RANK(AB170,AB$11:AB$333,1)+COUNTIF(AB$11:AB170,AB170)-1)))</f>
        <v/>
      </c>
      <c r="AD170" s="173"/>
      <c r="AE170" s="45">
        <f>IF(I$8="A",(RANK(AG170,AG$11:AG$333,1)+COUNTIF(AG$11:AG170,AG170)-1),(RANK(AG170,AG$11:AG$333)+COUNTIF(AG$11:AG170,AG170)-1))</f>
        <v>159</v>
      </c>
      <c r="AF170" t="str">
        <f>VLOOKUP(Profile!$J$5,Families!$C:$R,2,FALSE)</f>
        <v>Cheshire West &amp; Chester</v>
      </c>
      <c r="AG170" s="15">
        <f t="shared" si="76"/>
        <v>100</v>
      </c>
      <c r="AH170" s="46">
        <f t="shared" si="64"/>
        <v>159</v>
      </c>
      <c r="AI170" s="5" t="str">
        <f>IF(L170="","",VLOOKUP($L170,classifications!$C:$J,8,FALSE))</f>
        <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75</v>
      </c>
    </row>
    <row r="171" spans="1:50">
      <c r="A171" s="55" t="str">
        <f>$D$1&amp;161</f>
        <v>UA161</v>
      </c>
      <c r="B171" s="56">
        <f>IF(ISERROR(VLOOKUP(A171,classifications!A:C,3,FALSE)),0,VLOOKUP(A171,classifications!A:C,3,FALSE))</f>
        <v>0</v>
      </c>
      <c r="C171" t="s">
        <v>236</v>
      </c>
      <c r="D171" t="str">
        <f>VLOOKUP($C171,classifications!$C:$J,4,FALSE)</f>
        <v>MD</v>
      </c>
      <c r="E171">
        <f>VLOOKUP(C171,classifications!C:K,9,FALSE)</f>
        <v>0</v>
      </c>
      <c r="F171">
        <f t="shared" si="67"/>
        <v>85.365853658536579</v>
      </c>
      <c r="G171" s="15"/>
      <c r="H171" s="41" t="str">
        <f t="shared" si="68"/>
        <v/>
      </c>
      <c r="I171" s="73" t="str">
        <f>IF(H171="","",IF($I$8="A",(RANK(H171,H$11:H$333,1)+COUNTIF(H$11:H171,H171)-1),(RANK(H171,H$11:H$333)+COUNTIF(H$11:H171,H171)-1)))</f>
        <v/>
      </c>
      <c r="J171" s="40"/>
      <c r="K171" s="35" t="str">
        <f t="shared" si="75"/>
        <v/>
      </c>
      <c r="L171" t="str">
        <f t="shared" si="69"/>
        <v/>
      </c>
      <c r="M171" s="109" t="str">
        <f t="shared" si="70"/>
        <v/>
      </c>
      <c r="N171" s="104" t="str">
        <f t="shared" si="55"/>
        <v/>
      </c>
      <c r="O171" s="89" t="str">
        <f t="shared" si="56"/>
        <v/>
      </c>
      <c r="P171" s="89" t="str">
        <f t="shared" si="57"/>
        <v/>
      </c>
      <c r="Q171" s="89" t="str">
        <f t="shared" si="58"/>
        <v/>
      </c>
      <c r="R171" s="85" t="str">
        <f t="shared" si="59"/>
        <v/>
      </c>
      <c r="S171" s="41" t="str">
        <f t="shared" si="60"/>
        <v/>
      </c>
      <c r="T171" s="166" t="str">
        <f>IF(L171="","",VLOOKUP(L171,classifications!C:K,9,FALSE))</f>
        <v/>
      </c>
      <c r="U171" s="167" t="str">
        <f t="shared" si="61"/>
        <v/>
      </c>
      <c r="V171" s="173" t="str">
        <f>IF(U171="","",IF($I$8="A",(RANK(U171,U$11:U$333)+COUNTIF(U$11:U171,U171)-1),(RANK(U171,U$11:U$333,1)+COUNTIF(U$11:U171,U171)-1)))</f>
        <v/>
      </c>
      <c r="W171" s="174"/>
      <c r="X171" s="5" t="str">
        <f>IF(L171="","",VLOOKUP($L171,classifications!$C:$J,6,FALSE))</f>
        <v/>
      </c>
      <c r="Y171" t="str">
        <f t="shared" si="62"/>
        <v/>
      </c>
      <c r="Z171" s="39" t="str">
        <f>IF(Y171="","",IF(I$8="A",(RANK(Y171,Y$11:Y$333,1)+COUNTIF(Y$11:Y171,Y171)-1),(RANK(Y171,Y$11:Y$333)+COUNTIF(Y$11:Y171,Y171)-1)))</f>
        <v/>
      </c>
      <c r="AA171" s="177" t="str">
        <f>IF(L171="","",VLOOKUP($L171,classifications!C:I,7,FALSE))</f>
        <v/>
      </c>
      <c r="AB171" s="173" t="str">
        <f t="shared" si="63"/>
        <v/>
      </c>
      <c r="AC171" s="173" t="str">
        <f>IF(AB171="","",IF($I$8="A",(RANK(AB171,AB$11:AB$333)+COUNTIF(AB$11:AB171,AB171)-1),(RANK(AB171,AB$11:AB$333,1)+COUNTIF(AB$11:AB171,AB171)-1)))</f>
        <v/>
      </c>
      <c r="AD171" s="173"/>
      <c r="AE171" s="45">
        <f>IF(I$8="A",(RANK(AG171,AG$11:AG$333,1)+COUNTIF(AG$11:AG171,AG171)-1),(RANK(AG171,AG$11:AG$333)+COUNTIF(AG$11:AG171,AG171)-1))</f>
        <v>160</v>
      </c>
      <c r="AF171" t="str">
        <f>VLOOKUP(Profile!$J$5,Families!$C:$R,2,FALSE)</f>
        <v>Cheshire West &amp; Chester</v>
      </c>
      <c r="AG171" s="15">
        <f t="shared" si="76"/>
        <v>100</v>
      </c>
      <c r="AH171" s="46">
        <f t="shared" si="64"/>
        <v>160</v>
      </c>
      <c r="AI171" s="5" t="str">
        <f>IF(L171="","",VLOOKUP($L171,classifications!$C:$J,8,FALSE))</f>
        <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85.365853658536579</v>
      </c>
    </row>
    <row r="172" spans="1:50">
      <c r="A172" s="55" t="str">
        <f>$D$1&amp;162</f>
        <v>UA162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t="str">
        <f t="shared" si="68"/>
        <v/>
      </c>
      <c r="I172" s="73" t="str">
        <f>IF(H172="","",IF($I$8="A",(RANK(H172,H$11:H$333,1)+COUNTIF(H$11:H172,H172)-1),(RANK(H172,H$11:H$333)+COUNTIF(H$11:H172,H172)-1)))</f>
        <v/>
      </c>
      <c r="J172" s="40"/>
      <c r="K172" s="35" t="str">
        <f t="shared" si="75"/>
        <v/>
      </c>
      <c r="L172" t="str">
        <f t="shared" si="69"/>
        <v/>
      </c>
      <c r="M172" s="109" t="str">
        <f t="shared" si="70"/>
        <v/>
      </c>
      <c r="N172" s="104" t="str">
        <f t="shared" si="55"/>
        <v/>
      </c>
      <c r="O172" s="89" t="str">
        <f t="shared" si="56"/>
        <v/>
      </c>
      <c r="P172" s="89" t="str">
        <f t="shared" si="57"/>
        <v/>
      </c>
      <c r="Q172" s="89" t="str">
        <f t="shared" si="58"/>
        <v/>
      </c>
      <c r="R172" s="85" t="str">
        <f t="shared" si="59"/>
        <v/>
      </c>
      <c r="S172" s="41" t="str">
        <f t="shared" si="60"/>
        <v/>
      </c>
      <c r="T172" s="166" t="str">
        <f>IF(L172="","",VLOOKUP(L172,classifications!C:K,9,FALSE))</f>
        <v/>
      </c>
      <c r="U172" s="167" t="str">
        <f t="shared" si="61"/>
        <v/>
      </c>
      <c r="V172" s="173" t="str">
        <f>IF(U172="","",IF($I$8="A",(RANK(U172,U$11:U$333)+COUNTIF(U$11:U172,U172)-1),(RANK(U172,U$11:U$333,1)+COUNTIF(U$11:U172,U172)-1)))</f>
        <v/>
      </c>
      <c r="W172" s="174"/>
      <c r="X172" s="5" t="str">
        <f>IF(L172="","",VLOOKUP($L172,classifications!$C:$J,6,FALSE))</f>
        <v/>
      </c>
      <c r="Y172" t="str">
        <f t="shared" si="62"/>
        <v/>
      </c>
      <c r="Z172" s="39" t="str">
        <f>IF(Y172="","",IF(I$8="A",(RANK(Y172,Y$11:Y$333,1)+COUNTIF(Y$11:Y172,Y172)-1),(RANK(Y172,Y$11:Y$333)+COUNTIF(Y$11:Y172,Y172)-1)))</f>
        <v/>
      </c>
      <c r="AA172" s="177" t="str">
        <f>IF(L172="","",VLOOKUP($L172,classifications!C:I,7,FALSE))</f>
        <v/>
      </c>
      <c r="AB172" s="173" t="str">
        <f t="shared" si="63"/>
        <v/>
      </c>
      <c r="AC172" s="173" t="str">
        <f>IF(AB172="","",IF($I$8="A",(RANK(AB172,AB$11:AB$333)+COUNTIF(AB$11:AB172,AB172)-1),(RANK(AB172,AB$11:AB$333,1)+COUNTIF(AB$11:AB172,AB172)-1)))</f>
        <v/>
      </c>
      <c r="AD172" s="173"/>
      <c r="AE172" s="45">
        <f>IF(I$8="A",(RANK(AG172,AG$11:AG$333,1)+COUNTIF(AG$11:AG172,AG172)-1),(RANK(AG172,AG$11:AG$333)+COUNTIF(AG$11:AG172,AG172)-1))</f>
        <v>161</v>
      </c>
      <c r="AF172" t="str">
        <f>VLOOKUP(Profile!$J$5,Families!$C:$R,2,FALSE)</f>
        <v>Cheshire West &amp; Chester</v>
      </c>
      <c r="AG172" s="15">
        <f t="shared" si="76"/>
        <v>100</v>
      </c>
      <c r="AH172" s="46">
        <f t="shared" si="64"/>
        <v>161</v>
      </c>
      <c r="AI172" s="5" t="str">
        <f>IF(L172="","",VLOOKUP($L172,classifications!$C:$J,8,FALSE))</f>
        <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UA163</v>
      </c>
      <c r="B173" s="56">
        <f>IF(ISERROR(VLOOKUP(A173,classifications!A:C,3,FALSE)),0,VLOOKUP(A173,classifications!A:C,3,FALSE))</f>
        <v>0</v>
      </c>
      <c r="C173" t="s">
        <v>273</v>
      </c>
      <c r="D173" t="str">
        <f>VLOOKUP($C173,classifications!$C:$J,4,FALSE)</f>
        <v>UA</v>
      </c>
      <c r="E173">
        <f>VLOOKUP(C173,classifications!C:K,9,FALSE)</f>
        <v>0</v>
      </c>
      <c r="F173">
        <f t="shared" si="67"/>
        <v>100</v>
      </c>
      <c r="G173" s="15"/>
      <c r="H173" s="41">
        <f t="shared" si="68"/>
        <v>100</v>
      </c>
      <c r="I173" s="73">
        <f>IF(H173="","",IF($I$8="A",(RANK(H173,H$11:H$333,1)+COUNTIF(H$11:H173,H173)-1),(RANK(H173,H$11:H$333)+COUNTIF(H$11:H173,H173)-1)))</f>
        <v>11</v>
      </c>
      <c r="J173" s="40"/>
      <c r="K173" s="35" t="str">
        <f t="shared" si="75"/>
        <v/>
      </c>
      <c r="L173" t="str">
        <f t="shared" si="69"/>
        <v/>
      </c>
      <c r="M173" s="109" t="str">
        <f t="shared" si="70"/>
        <v/>
      </c>
      <c r="N173" s="104" t="str">
        <f t="shared" si="55"/>
        <v/>
      </c>
      <c r="O173" s="89" t="str">
        <f t="shared" si="56"/>
        <v/>
      </c>
      <c r="P173" s="89" t="str">
        <f t="shared" si="57"/>
        <v/>
      </c>
      <c r="Q173" s="89" t="str">
        <f t="shared" si="58"/>
        <v/>
      </c>
      <c r="R173" s="85" t="str">
        <f t="shared" si="59"/>
        <v/>
      </c>
      <c r="S173" s="41" t="str">
        <f t="shared" si="60"/>
        <v/>
      </c>
      <c r="T173" s="166" t="str">
        <f>IF(L173="","",VLOOKUP(L173,classifications!C:K,9,FALSE))</f>
        <v/>
      </c>
      <c r="U173" s="167" t="str">
        <f t="shared" si="61"/>
        <v/>
      </c>
      <c r="V173" s="173" t="str">
        <f>IF(U173="","",IF($I$8="A",(RANK(U173,U$11:U$333)+COUNTIF(U$11:U173,U173)-1),(RANK(U173,U$11:U$333,1)+COUNTIF(U$11:U173,U173)-1)))</f>
        <v/>
      </c>
      <c r="W173" s="174"/>
      <c r="X173" s="5" t="str">
        <f>IF(L173="","",VLOOKUP($L173,classifications!$C:$J,6,FALSE))</f>
        <v/>
      </c>
      <c r="Y173" t="str">
        <f t="shared" si="62"/>
        <v/>
      </c>
      <c r="Z173" s="39" t="str">
        <f>IF(Y173="","",IF(I$8="A",(RANK(Y173,Y$11:Y$333,1)+COUNTIF(Y$11:Y173,Y173)-1),(RANK(Y173,Y$11:Y$333)+COUNTIF(Y$11:Y173,Y173)-1)))</f>
        <v/>
      </c>
      <c r="AA173" s="177" t="str">
        <f>IF(L173="","",VLOOKUP($L173,classifications!C:I,7,FALSE))</f>
        <v/>
      </c>
      <c r="AB173" s="173" t="str">
        <f t="shared" si="63"/>
        <v/>
      </c>
      <c r="AC173" s="173" t="str">
        <f>IF(AB173="","",IF($I$8="A",(RANK(AB173,AB$11:AB$333)+COUNTIF(AB$11:AB173,AB173)-1),(RANK(AB173,AB$11:AB$333,1)+COUNTIF(AB$11:AB173,AB173)-1)))</f>
        <v/>
      </c>
      <c r="AD173" s="173"/>
      <c r="AE173" s="45">
        <f>IF(I$8="A",(RANK(AG173,AG$11:AG$333,1)+COUNTIF(AG$11:AG173,AG173)-1),(RANK(AG173,AG$11:AG$333)+COUNTIF(AG$11:AG173,AG173)-1))</f>
        <v>162</v>
      </c>
      <c r="AF173" t="str">
        <f>VLOOKUP(Profile!$J$5,Families!$C:$R,2,FALSE)</f>
        <v>Cheshire West &amp; Chester</v>
      </c>
      <c r="AG173" s="15">
        <f t="shared" si="76"/>
        <v>100</v>
      </c>
      <c r="AH173" s="46">
        <f t="shared" si="64"/>
        <v>162</v>
      </c>
      <c r="AI173" s="5" t="str">
        <f>IF(L173="","",VLOOKUP($L173,classifications!$C:$J,8,FALSE))</f>
        <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100</v>
      </c>
    </row>
    <row r="174" spans="1:50">
      <c r="A174" s="55" t="str">
        <f>$D$1&amp;164</f>
        <v>UA164</v>
      </c>
      <c r="B174" s="56">
        <f>IF(ISERROR(VLOOKUP(A174,classifications!A:C,3,FALSE)),0,VLOOKUP(A174,classifications!A:C,3,FALSE))</f>
        <v>0</v>
      </c>
      <c r="C174" t="s">
        <v>100</v>
      </c>
      <c r="D174" t="str">
        <f>VLOOKUP($C174,classifications!$C:$J,4,FALSE)</f>
        <v>SD</v>
      </c>
      <c r="E174" t="str">
        <f>VLOOKUP(C174,classifications!C:K,9,FALSE)</f>
        <v>Sparse</v>
      </c>
      <c r="F174">
        <f t="shared" si="67"/>
        <v>100</v>
      </c>
      <c r="G174" s="15"/>
      <c r="H174" s="41" t="str">
        <f t="shared" si="68"/>
        <v/>
      </c>
      <c r="I174" s="73" t="str">
        <f>IF(H174="","",IF($I$8="A",(RANK(H174,H$11:H$333,1)+COUNTIF(H$11:H174,H174)-1),(RANK(H174,H$11:H$333)+COUNTIF(H$11:H174,H174)-1)))</f>
        <v/>
      </c>
      <c r="J174" s="40"/>
      <c r="K174" s="35" t="str">
        <f t="shared" si="75"/>
        <v/>
      </c>
      <c r="L174" t="str">
        <f t="shared" si="69"/>
        <v/>
      </c>
      <c r="M174" s="109" t="str">
        <f t="shared" si="70"/>
        <v/>
      </c>
      <c r="N174" s="104" t="str">
        <f t="shared" si="55"/>
        <v/>
      </c>
      <c r="O174" s="89" t="str">
        <f t="shared" si="56"/>
        <v/>
      </c>
      <c r="P174" s="89" t="str">
        <f t="shared" si="57"/>
        <v/>
      </c>
      <c r="Q174" s="89" t="str">
        <f t="shared" si="58"/>
        <v/>
      </c>
      <c r="R174" s="85" t="str">
        <f t="shared" si="59"/>
        <v/>
      </c>
      <c r="S174" s="41" t="str">
        <f t="shared" si="60"/>
        <v/>
      </c>
      <c r="T174" s="166" t="str">
        <f>IF(L174="","",VLOOKUP(L174,classifications!C:K,9,FALSE))</f>
        <v/>
      </c>
      <c r="U174" s="167" t="str">
        <f t="shared" si="61"/>
        <v/>
      </c>
      <c r="V174" s="173" t="str">
        <f>IF(U174="","",IF($I$8="A",(RANK(U174,U$11:U$333)+COUNTIF(U$11:U174,U174)-1),(RANK(U174,U$11:U$333,1)+COUNTIF(U$11:U174,U174)-1)))</f>
        <v/>
      </c>
      <c r="W174" s="174"/>
      <c r="X174" s="5" t="str">
        <f>IF(L174="","",VLOOKUP($L174,classifications!$C:$J,6,FALSE))</f>
        <v/>
      </c>
      <c r="Y174" t="str">
        <f t="shared" si="62"/>
        <v/>
      </c>
      <c r="Z174" s="39" t="str">
        <f>IF(Y174="","",IF(I$8="A",(RANK(Y174,Y$11:Y$333,1)+COUNTIF(Y$11:Y174,Y174)-1),(RANK(Y174,Y$11:Y$333)+COUNTIF(Y$11:Y174,Y174)-1)))</f>
        <v/>
      </c>
      <c r="AA174" s="177" t="str">
        <f>IF(L174="","",VLOOKUP($L174,classifications!C:I,7,FALSE))</f>
        <v/>
      </c>
      <c r="AB174" s="173" t="str">
        <f t="shared" si="63"/>
        <v/>
      </c>
      <c r="AC174" s="173" t="str">
        <f>IF(AB174="","",IF($I$8="A",(RANK(AB174,AB$11:AB$333)+COUNTIF(AB$11:AB174,AB174)-1),(RANK(AB174,AB$11:AB$333,1)+COUNTIF(AB$11:AB174,AB174)-1)))</f>
        <v/>
      </c>
      <c r="AD174" s="173"/>
      <c r="AE174" s="45">
        <f>IF(I$8="A",(RANK(AG174,AG$11:AG$333,1)+COUNTIF(AG$11:AG174,AG174)-1),(RANK(AG174,AG$11:AG$333)+COUNTIF(AG$11:AG174,AG174)-1))</f>
        <v>163</v>
      </c>
      <c r="AF174" t="str">
        <f>VLOOKUP(Profile!$J$5,Families!$C:$R,2,FALSE)</f>
        <v>Cheshire West &amp; Chester</v>
      </c>
      <c r="AG174" s="15">
        <f t="shared" si="76"/>
        <v>100</v>
      </c>
      <c r="AH174" s="46">
        <f t="shared" si="64"/>
        <v>163</v>
      </c>
      <c r="AI174" s="5" t="str">
        <f>IF(L174="","",VLOOKUP($L174,classifications!$C:$J,8,FALSE))</f>
        <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100</v>
      </c>
    </row>
    <row r="175" spans="1:50">
      <c r="A175" s="55" t="str">
        <f>$D$1&amp;165</f>
        <v>UA165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f>IF(I$8="A",(RANK(AG175,AG$11:AG$333,1)+COUNTIF(AG$11:AG175,AG175)-1),(RANK(AG175,AG$11:AG$333)+COUNTIF(AG$11:AG175,AG175)-1))</f>
        <v>164</v>
      </c>
      <c r="AF175" t="str">
        <f>VLOOKUP(Profile!$J$5,Families!$C:$R,2,FALSE)</f>
        <v>Cheshire West &amp; Chester</v>
      </c>
      <c r="AG175" s="15">
        <f t="shared" si="76"/>
        <v>100</v>
      </c>
      <c r="AH175" s="46">
        <f t="shared" si="64"/>
        <v>164</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UA166</v>
      </c>
      <c r="B176" s="56">
        <f>IF(ISERROR(VLOOKUP(A176,classifications!A:C,3,FALSE)),0,VLOOKUP(A176,classifications!A:C,3,FALSE))</f>
        <v>0</v>
      </c>
      <c r="C176" t="s">
        <v>102</v>
      </c>
      <c r="D176" t="str">
        <f>VLOOKUP($C176,classifications!$C:$J,4,FALSE)</f>
        <v>SD</v>
      </c>
      <c r="E176" t="str">
        <f>VLOOKUP(C176,classifications!C:K,9,FALSE)</f>
        <v>Sparse</v>
      </c>
      <c r="F176">
        <f t="shared" si="67"/>
        <v>100</v>
      </c>
      <c r="G176" s="15"/>
      <c r="H176" s="41" t="str">
        <f t="shared" si="68"/>
        <v/>
      </c>
      <c r="I176" s="73" t="str">
        <f>IF(H176="","",IF($I$8="A",(RANK(H176,H$11:H$333,1)+COUNTIF(H$11:H176,H176)-1),(RANK(H176,H$11:H$333)+COUNTIF(H$11:H176,H176)-1)))</f>
        <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f>IF(I$8="A",(RANK(AG176,AG$11:AG$333,1)+COUNTIF(AG$11:AG176,AG176)-1),(RANK(AG176,AG$11:AG$333)+COUNTIF(AG$11:AG176,AG176)-1))</f>
        <v>165</v>
      </c>
      <c r="AF176" t="str">
        <f>VLOOKUP(Profile!$J$5,Families!$C:$R,2,FALSE)</f>
        <v>Cheshire West &amp; Chester</v>
      </c>
      <c r="AG176" s="15">
        <f t="shared" si="76"/>
        <v>100</v>
      </c>
      <c r="AH176" s="46">
        <f t="shared" si="64"/>
        <v>165</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100</v>
      </c>
    </row>
    <row r="177" spans="1:50">
      <c r="A177" s="55" t="str">
        <f>$D$1&amp;167</f>
        <v>UA167</v>
      </c>
      <c r="B177" s="56">
        <f>IF(ISERROR(VLOOKUP(A177,classifications!A:C,3,FALSE)),0,VLOOKUP(A177,classifications!A:C,3,FALSE))</f>
        <v>0</v>
      </c>
      <c r="C177" t="s">
        <v>103</v>
      </c>
      <c r="D177" t="str">
        <f>VLOOKUP($C177,classifications!$C:$J,4,FALSE)</f>
        <v>SD</v>
      </c>
      <c r="E177" t="str">
        <f>VLOOKUP(C177,classifications!C:K,9,FALSE)</f>
        <v>Sparse</v>
      </c>
      <c r="F177">
        <f t="shared" si="67"/>
        <v>71.428571428571431</v>
      </c>
      <c r="G177" s="15"/>
      <c r="H177" s="41" t="str">
        <f t="shared" si="68"/>
        <v/>
      </c>
      <c r="I177" s="73" t="str">
        <f>IF(H177="","",IF($I$8="A",(RANK(H177,H$11:H$333,1)+COUNTIF(H$11:H177,H177)-1),(RANK(H177,H$11:H$333)+COUNTIF(H$11:H177,H177)-1)))</f>
        <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f>IF(I$8="A",(RANK(AG177,AG$11:AG$333,1)+COUNTIF(AG$11:AG177,AG177)-1),(RANK(AG177,AG$11:AG$333)+COUNTIF(AG$11:AG177,AG177)-1))</f>
        <v>166</v>
      </c>
      <c r="AF177" t="str">
        <f>VLOOKUP(Profile!$J$5,Families!$C:$R,2,FALSE)</f>
        <v>Cheshire West &amp; Chester</v>
      </c>
      <c r="AG177" s="15">
        <f t="shared" si="76"/>
        <v>100</v>
      </c>
      <c r="AH177" s="46">
        <f t="shared" si="64"/>
        <v>166</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71.428571428571431</v>
      </c>
    </row>
    <row r="178" spans="1:50">
      <c r="A178" s="55" t="str">
        <f>$D$1&amp;168</f>
        <v>UA168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t="str">
        <f t="shared" si="68"/>
        <v/>
      </c>
      <c r="I178" s="73" t="str">
        <f>IF(H178="","",IF($I$8="A",(RANK(H178,H$11:H$333,1)+COUNTIF(H$11:H178,H178)-1),(RANK(H178,H$11:H$333)+COUNTIF(H$11:H178,H178)-1)))</f>
        <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f>IF(I$8="A",(RANK(AG178,AG$11:AG$333,1)+COUNTIF(AG$11:AG178,AG178)-1),(RANK(AG178,AG$11:AG$333)+COUNTIF(AG$11:AG178,AG178)-1))</f>
        <v>167</v>
      </c>
      <c r="AF178" t="str">
        <f>VLOOKUP(Profile!$J$5,Families!$C:$R,2,FALSE)</f>
        <v>Cheshire West &amp; Chester</v>
      </c>
      <c r="AG178" s="15">
        <f t="shared" si="76"/>
        <v>100</v>
      </c>
      <c r="AH178" s="46">
        <f t="shared" si="64"/>
        <v>167</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UA169</v>
      </c>
      <c r="B179" s="56">
        <f>IF(ISERROR(VLOOKUP(A179,classifications!A:C,3,FALSE)),0,VLOOKUP(A179,classifications!A:C,3,FALSE))</f>
        <v>0</v>
      </c>
      <c r="C179" t="s">
        <v>274</v>
      </c>
      <c r="D179" t="str">
        <f>VLOOKUP($C179,classifications!$C:$J,4,FALSE)</f>
        <v>UA</v>
      </c>
      <c r="E179">
        <f>VLOOKUP(C179,classifications!C:K,9,FALSE)</f>
        <v>0</v>
      </c>
      <c r="F179">
        <f t="shared" si="67"/>
        <v>87.5</v>
      </c>
      <c r="G179" s="15"/>
      <c r="H179" s="41">
        <f t="shared" si="68"/>
        <v>87.5</v>
      </c>
      <c r="I179" s="73">
        <f>IF(H179="","",IF($I$8="A",(RANK(H179,H$11:H$333,1)+COUNTIF(H$11:H179,H179)-1),(RANK(H179,H$11:H$333)+COUNTIF(H$11:H179,H179)-1)))</f>
        <v>44</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f>IF(I$8="A",(RANK(AG179,AG$11:AG$333,1)+COUNTIF(AG$11:AG179,AG179)-1),(RANK(AG179,AG$11:AG$333)+COUNTIF(AG$11:AG179,AG179)-1))</f>
        <v>168</v>
      </c>
      <c r="AF179" t="str">
        <f>VLOOKUP(Profile!$J$5,Families!$C:$R,2,FALSE)</f>
        <v>Cheshire West &amp; Chester</v>
      </c>
      <c r="AG179" s="15">
        <f t="shared" si="76"/>
        <v>100</v>
      </c>
      <c r="AH179" s="46">
        <f t="shared" si="64"/>
        <v>168</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87.5</v>
      </c>
    </row>
    <row r="180" spans="1:50">
      <c r="A180" s="55" t="str">
        <f>$D$1&amp;170</f>
        <v>UA170</v>
      </c>
      <c r="B180" s="56">
        <f>IF(ISERROR(VLOOKUP(A180,classifications!A:C,3,FALSE)),0,VLOOKUP(A180,classifications!A:C,3,FALSE))</f>
        <v>0</v>
      </c>
      <c r="C180" t="s">
        <v>275</v>
      </c>
      <c r="D180" t="str">
        <f>VLOOKUP($C180,classifications!$C:$J,4,FALSE)</f>
        <v>UA</v>
      </c>
      <c r="E180">
        <f>VLOOKUP(C180,classifications!C:K,9,FALSE)</f>
        <v>0</v>
      </c>
      <c r="F180">
        <f t="shared" si="67"/>
        <v>100</v>
      </c>
      <c r="G180" s="15"/>
      <c r="H180" s="41">
        <f t="shared" si="68"/>
        <v>100</v>
      </c>
      <c r="I180" s="73">
        <f>IF(H180="","",IF($I$8="A",(RANK(H180,H$11:H$333,1)+COUNTIF(H$11:H180,H180)-1),(RANK(H180,H$11:H$333)+COUNTIF(H$11:H180,H180)-1)))</f>
        <v>12</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f>IF(I$8="A",(RANK(AG180,AG$11:AG$333,1)+COUNTIF(AG$11:AG180,AG180)-1),(RANK(AG180,AG$11:AG$333)+COUNTIF(AG$11:AG180,AG180)-1))</f>
        <v>169</v>
      </c>
      <c r="AF180" t="str">
        <f>VLOOKUP(Profile!$J$5,Families!$C:$R,2,FALSE)</f>
        <v>Cheshire West &amp; Chester</v>
      </c>
      <c r="AG180" s="15">
        <f t="shared" si="76"/>
        <v>100</v>
      </c>
      <c r="AH180" s="46">
        <f t="shared" si="64"/>
        <v>169</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100</v>
      </c>
    </row>
    <row r="181" spans="1:50">
      <c r="A181" s="55" t="str">
        <f>$D$1&amp;171</f>
        <v>UA171</v>
      </c>
      <c r="B181" s="56">
        <f>IF(ISERROR(VLOOKUP(A181,classifications!A:C,3,FALSE)),0,VLOOKUP(A181,classifications!A:C,3,FALSE))</f>
        <v>0</v>
      </c>
      <c r="C181" t="s">
        <v>105</v>
      </c>
      <c r="D181" t="str">
        <f>VLOOKUP($C181,classifications!$C:$J,4,FALSE)</f>
        <v>SD</v>
      </c>
      <c r="E181">
        <f>VLOOKUP(C181,classifications!C:K,9,FALSE)</f>
        <v>0</v>
      </c>
      <c r="F181">
        <f t="shared" si="67"/>
        <v>100</v>
      </c>
      <c r="G181" s="15"/>
      <c r="H181" s="41" t="str">
        <f t="shared" si="68"/>
        <v/>
      </c>
      <c r="I181" s="73" t="str">
        <f>IF(H181="","",IF($I$8="A",(RANK(H181,H$11:H$333,1)+COUNTIF(H$11:H181,H181)-1),(RANK(H181,H$11:H$333)+COUNTIF(H$11:H181,H181)-1)))</f>
        <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f>IF(I$8="A",(RANK(AG181,AG$11:AG$333,1)+COUNTIF(AG$11:AG181,AG181)-1),(RANK(AG181,AG$11:AG$333)+COUNTIF(AG$11:AG181,AG181)-1))</f>
        <v>170</v>
      </c>
      <c r="AF181" t="str">
        <f>VLOOKUP(Profile!$J$5,Families!$C:$R,2,FALSE)</f>
        <v>Cheshire West &amp; Chester</v>
      </c>
      <c r="AG181" s="15">
        <f t="shared" si="76"/>
        <v>100</v>
      </c>
      <c r="AH181" s="46">
        <f t="shared" si="64"/>
        <v>170</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100</v>
      </c>
    </row>
    <row r="182" spans="1:50">
      <c r="A182" s="55" t="str">
        <f>$D$1&amp;172</f>
        <v>UA172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t="str">
        <f t="shared" si="68"/>
        <v/>
      </c>
      <c r="I182" s="73" t="str">
        <f>IF(H182="","",IF($I$8="A",(RANK(H182,H$11:H$333,1)+COUNTIF(H$11:H182,H182)-1),(RANK(H182,H$11:H$333)+COUNTIF(H$11:H182,H182)-1)))</f>
        <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f>IF(I$8="A",(RANK(AG182,AG$11:AG$333,1)+COUNTIF(AG$11:AG182,AG182)-1),(RANK(AG182,AG$11:AG$333)+COUNTIF(AG$11:AG182,AG182)-1))</f>
        <v>171</v>
      </c>
      <c r="AF182" t="str">
        <f>VLOOKUP(Profile!$J$5,Families!$C:$R,2,FALSE)</f>
        <v>Cheshire West &amp; Chester</v>
      </c>
      <c r="AG182" s="15">
        <f t="shared" si="76"/>
        <v>100</v>
      </c>
      <c r="AH182" s="46">
        <f t="shared" si="64"/>
        <v>171</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UA173</v>
      </c>
      <c r="B183" s="56">
        <f>IF(ISERROR(VLOOKUP(A183,classifications!A:C,3,FALSE)),0,VLOOKUP(A183,classifications!A:C,3,FALSE))</f>
        <v>0</v>
      </c>
      <c r="C183" t="s">
        <v>345</v>
      </c>
      <c r="D183" t="str">
        <f>VLOOKUP($C183,classifications!$C:$J,4,FALSE)</f>
        <v>SD</v>
      </c>
      <c r="E183">
        <f>VLOOKUP(C183,classifications!C:K,9,FALSE)</f>
        <v>0</v>
      </c>
      <c r="F183">
        <f t="shared" si="67"/>
        <v>84.615384615384613</v>
      </c>
      <c r="G183" s="15"/>
      <c r="H183" s="41" t="str">
        <f t="shared" si="68"/>
        <v/>
      </c>
      <c r="I183" s="73" t="str">
        <f>IF(H183="","",IF($I$8="A",(RANK(H183,H$11:H$333,1)+COUNTIF(H$11:H183,H183)-1),(RANK(H183,H$11:H$333)+COUNTIF(H$11:H183,H183)-1)))</f>
        <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f>IF(I$8="A",(RANK(AG183,AG$11:AG$333,1)+COUNTIF(AG$11:AG183,AG183)-1),(RANK(AG183,AG$11:AG$333)+COUNTIF(AG$11:AG183,AG183)-1))</f>
        <v>172</v>
      </c>
      <c r="AF183" t="str">
        <f>VLOOKUP(Profile!$J$5,Families!$C:$R,2,FALSE)</f>
        <v>Cheshire West &amp; Chester</v>
      </c>
      <c r="AG183" s="15">
        <f t="shared" si="76"/>
        <v>100</v>
      </c>
      <c r="AH183" s="46">
        <f t="shared" si="64"/>
        <v>172</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84.615384615384613</v>
      </c>
    </row>
    <row r="184" spans="1:50">
      <c r="A184" s="55" t="str">
        <f>$D$1&amp;174</f>
        <v>UA174</v>
      </c>
      <c r="B184" s="56">
        <f>IF(ISERROR(VLOOKUP(A184,classifications!A:C,3,FALSE)),0,VLOOKUP(A184,classifications!A:C,3,FALSE))</f>
        <v>0</v>
      </c>
      <c r="C184" t="s">
        <v>237</v>
      </c>
      <c r="D184" t="str">
        <f>VLOOKUP($C184,classifications!$C:$J,4,FALSE)</f>
        <v>MD</v>
      </c>
      <c r="E184">
        <f>VLOOKUP(C184,classifications!C:K,9,FALSE)</f>
        <v>0</v>
      </c>
      <c r="F184">
        <f t="shared" si="67"/>
        <v>71.428571428571431</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f>IF(I$8="A",(RANK(AG184,AG$11:AG$333,1)+COUNTIF(AG$11:AG184,AG184)-1),(RANK(AG184,AG$11:AG$333)+COUNTIF(AG$11:AG184,AG184)-1))</f>
        <v>173</v>
      </c>
      <c r="AF184" t="str">
        <f>VLOOKUP(Profile!$J$5,Families!$C:$R,2,FALSE)</f>
        <v>Cheshire West &amp; Chester</v>
      </c>
      <c r="AG184" s="15">
        <f t="shared" si="76"/>
        <v>100</v>
      </c>
      <c r="AH184" s="46">
        <f t="shared" si="64"/>
        <v>173</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71.428571428571431</v>
      </c>
    </row>
    <row r="185" spans="1:50">
      <c r="A185" s="55" t="str">
        <f>$D$1&amp;175</f>
        <v>UA175</v>
      </c>
      <c r="B185" s="56">
        <f>IF(ISERROR(VLOOKUP(A185,classifications!A:C,3,FALSE)),0,VLOOKUP(A185,classifications!A:C,3,FALSE))</f>
        <v>0</v>
      </c>
      <c r="C185" t="s">
        <v>107</v>
      </c>
      <c r="D185" t="str">
        <f>VLOOKUP($C185,classifications!$C:$J,4,FALSE)</f>
        <v>SD</v>
      </c>
      <c r="E185">
        <f>VLOOKUP(C185,classifications!C:K,9,FALSE)</f>
        <v>0</v>
      </c>
      <c r="F185">
        <f t="shared" si="67"/>
        <v>100</v>
      </c>
      <c r="G185" s="15"/>
      <c r="H185" s="41" t="str">
        <f t="shared" si="68"/>
        <v/>
      </c>
      <c r="I185" s="73" t="str">
        <f>IF(H185="","",IF($I$8="A",(RANK(H185,H$11:H$333,1)+COUNTIF(H$11:H185,H185)-1),(RANK(H185,H$11:H$333)+COUNTIF(H$11:H185,H185)-1)))</f>
        <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f>IF(I$8="A",(RANK(AG185,AG$11:AG$333,1)+COUNTIF(AG$11:AG185,AG185)-1),(RANK(AG185,AG$11:AG$333)+COUNTIF(AG$11:AG185,AG185)-1))</f>
        <v>174</v>
      </c>
      <c r="AF185" t="str">
        <f>VLOOKUP(Profile!$J$5,Families!$C:$R,2,FALSE)</f>
        <v>Cheshire West &amp; Chester</v>
      </c>
      <c r="AG185" s="15">
        <f t="shared" si="76"/>
        <v>100</v>
      </c>
      <c r="AH185" s="46">
        <f t="shared" si="64"/>
        <v>174</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100</v>
      </c>
    </row>
    <row r="186" spans="1:50">
      <c r="A186" s="55" t="str">
        <f>$D$1&amp;176</f>
        <v>UA176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f>IF(I$8="A",(RANK(AG186,AG$11:AG$333,1)+COUNTIF(AG$11:AG186,AG186)-1),(RANK(AG186,AG$11:AG$333)+COUNTIF(AG$11:AG186,AG186)-1))</f>
        <v>175</v>
      </c>
      <c r="AF186" t="str">
        <f>VLOOKUP(Profile!$J$5,Families!$C:$R,2,FALSE)</f>
        <v>Cheshire West &amp; Chester</v>
      </c>
      <c r="AG186" s="15">
        <f t="shared" si="76"/>
        <v>100</v>
      </c>
      <c r="AH186" s="46">
        <f t="shared" ref="AH186:AH249" si="88">AE186</f>
        <v>175</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UA177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f>IF(I$8="A",(RANK(AG187,AG$11:AG$333,1)+COUNTIF(AG$11:AG187,AG187)-1),(RANK(AG187,AG$11:AG$333)+COUNTIF(AG$11:AG187,AG187)-1))</f>
        <v>176</v>
      </c>
      <c r="AF187" t="str">
        <f>VLOOKUP(Profile!$J$5,Families!$C:$R,2,FALSE)</f>
        <v>Cheshire West &amp; Chester</v>
      </c>
      <c r="AG187" s="15">
        <f t="shared" si="76"/>
        <v>100</v>
      </c>
      <c r="AH187" s="46">
        <f t="shared" si="88"/>
        <v>176</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UA178</v>
      </c>
      <c r="B188" s="56">
        <f>IF(ISERROR(VLOOKUP(A188,classifications!A:C,3,FALSE)),0,VLOOKUP(A188,classifications!A:C,3,FALSE))</f>
        <v>0</v>
      </c>
      <c r="C188" t="s">
        <v>108</v>
      </c>
      <c r="D188" t="str">
        <f>VLOOKUP($C188,classifications!$C:$J,4,FALSE)</f>
        <v>SD</v>
      </c>
      <c r="E188" t="str">
        <f>VLOOKUP(C188,classifications!C:K,9,FALSE)</f>
        <v>Sparse</v>
      </c>
      <c r="F188">
        <f t="shared" si="67"/>
        <v>100</v>
      </c>
      <c r="G188" s="15"/>
      <c r="H188" s="41" t="str">
        <f t="shared" si="68"/>
        <v/>
      </c>
      <c r="I188" s="73" t="str">
        <f>IF(H188="","",IF($I$8="A",(RANK(H188,H$11:H$333,1)+COUNTIF(H$11:H188,H188)-1),(RANK(H188,H$11:H$333)+COUNTIF(H$11:H188,H188)-1)))</f>
        <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f>IF(I$8="A",(RANK(AG188,AG$11:AG$333,1)+COUNTIF(AG$11:AG188,AG188)-1),(RANK(AG188,AG$11:AG$333)+COUNTIF(AG$11:AG188,AG188)-1))</f>
        <v>177</v>
      </c>
      <c r="AF188" t="str">
        <f>VLOOKUP(Profile!$J$5,Families!$C:$R,2,FALSE)</f>
        <v>Cheshire West &amp; Chester</v>
      </c>
      <c r="AG188" s="15">
        <f t="shared" si="76"/>
        <v>100</v>
      </c>
      <c r="AH188" s="46">
        <f t="shared" si="88"/>
        <v>177</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100</v>
      </c>
    </row>
    <row r="189" spans="1:50">
      <c r="A189" s="55" t="str">
        <f>$D$1&amp;179</f>
        <v>UA179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t="str">
        <f t="shared" si="68"/>
        <v/>
      </c>
      <c r="I189" s="73" t="str">
        <f>IF(H189="","",IF($I$8="A",(RANK(H189,H$11:H$333,1)+COUNTIF(H$11:H189,H189)-1),(RANK(H189,H$11:H$333)+COUNTIF(H$11:H189,H189)-1)))</f>
        <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f>IF(I$8="A",(RANK(AG189,AG$11:AG$333,1)+COUNTIF(AG$11:AG189,AG189)-1),(RANK(AG189,AG$11:AG$333)+COUNTIF(AG$11:AG189,AG189)-1))</f>
        <v>178</v>
      </c>
      <c r="AF189" t="str">
        <f>VLOOKUP(Profile!$J$5,Families!$C:$R,2,FALSE)</f>
        <v>Cheshire West &amp; Chester</v>
      </c>
      <c r="AG189" s="15">
        <f t="shared" si="76"/>
        <v>100</v>
      </c>
      <c r="AH189" s="46">
        <f t="shared" si="88"/>
        <v>178</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UA180</v>
      </c>
      <c r="B190" s="56">
        <f>IF(ISERROR(VLOOKUP(A190,classifications!A:C,3,FALSE)),0,VLOOKUP(A190,classifications!A:C,3,FALSE))</f>
        <v>0</v>
      </c>
      <c r="C190" t="s">
        <v>276</v>
      </c>
      <c r="D190" t="str">
        <f>VLOOKUP($C190,classifications!$C:$J,4,FALSE)</f>
        <v>UA</v>
      </c>
      <c r="E190">
        <f>VLOOKUP(C190,classifications!C:K,9,FALSE)</f>
        <v>0</v>
      </c>
      <c r="F190">
        <f t="shared" si="67"/>
        <v>100</v>
      </c>
      <c r="G190" s="15"/>
      <c r="H190" s="41">
        <f t="shared" si="68"/>
        <v>100</v>
      </c>
      <c r="I190" s="73">
        <f>IF(H190="","",IF($I$8="A",(RANK(H190,H$11:H$333,1)+COUNTIF(H$11:H190,H190)-1),(RANK(H190,H$11:H$333)+COUNTIF(H$11:H190,H190)-1)))</f>
        <v>13</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f>IF(I$8="A",(RANK(AG190,AG$11:AG$333,1)+COUNTIF(AG$11:AG190,AG190)-1),(RANK(AG190,AG$11:AG$333)+COUNTIF(AG$11:AG190,AG190)-1))</f>
        <v>179</v>
      </c>
      <c r="AF190" t="str">
        <f>VLOOKUP(Profile!$J$5,Families!$C:$R,2,FALSE)</f>
        <v>Cheshire West &amp; Chester</v>
      </c>
      <c r="AG190" s="15">
        <f t="shared" si="76"/>
        <v>100</v>
      </c>
      <c r="AH190" s="46">
        <f t="shared" si="88"/>
        <v>179</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100</v>
      </c>
    </row>
    <row r="191" spans="1:50">
      <c r="A191" s="55" t="str">
        <f>$D$1&amp;181</f>
        <v>UA181</v>
      </c>
      <c r="B191" s="56">
        <f>IF(ISERROR(VLOOKUP(A191,classifications!A:C,3,FALSE)),0,VLOOKUP(A191,classifications!A:C,3,FALSE))</f>
        <v>0</v>
      </c>
      <c r="C191" t="s">
        <v>111</v>
      </c>
      <c r="D191" t="str">
        <f>VLOOKUP($C191,classifications!$C:$J,4,FALSE)</f>
        <v>SD</v>
      </c>
      <c r="E191">
        <f>VLOOKUP(C191,classifications!C:K,9,FALSE)</f>
        <v>0</v>
      </c>
      <c r="F191">
        <f t="shared" si="67"/>
        <v>66.666666666666657</v>
      </c>
      <c r="G191" s="15"/>
      <c r="H191" s="41" t="str">
        <f t="shared" si="68"/>
        <v/>
      </c>
      <c r="I191" s="73" t="str">
        <f>IF(H191="","",IF($I$8="A",(RANK(H191,H$11:H$333,1)+COUNTIF(H$11:H191,H191)-1),(RANK(H191,H$11:H$333)+COUNTIF(H$11:H191,H191)-1)))</f>
        <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f>IF(I$8="A",(RANK(AG191,AG$11:AG$333,1)+COUNTIF(AG$11:AG191,AG191)-1),(RANK(AG191,AG$11:AG$333)+COUNTIF(AG$11:AG191,AG191)-1))</f>
        <v>180</v>
      </c>
      <c r="AF191" t="str">
        <f>VLOOKUP(Profile!$J$5,Families!$C:$R,2,FALSE)</f>
        <v>Cheshire West &amp; Chester</v>
      </c>
      <c r="AG191" s="15">
        <f t="shared" si="76"/>
        <v>100</v>
      </c>
      <c r="AH191" s="46">
        <f t="shared" si="88"/>
        <v>180</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66.666666666666657</v>
      </c>
    </row>
    <row r="192" spans="1:50">
      <c r="A192" s="55" t="str">
        <f>$D$1&amp;182</f>
        <v>UA182</v>
      </c>
      <c r="B192" s="56">
        <f>IF(ISERROR(VLOOKUP(A192,classifications!A:C,3,FALSE)),0,VLOOKUP(A192,classifications!A:C,3,FALSE))</f>
        <v>0</v>
      </c>
      <c r="C192" t="s">
        <v>112</v>
      </c>
      <c r="D192" t="str">
        <f>VLOOKUP($C192,classifications!$C:$J,4,FALSE)</f>
        <v>SD</v>
      </c>
      <c r="E192" t="str">
        <f>VLOOKUP(C192,classifications!C:K,9,FALSE)</f>
        <v>Sparse</v>
      </c>
      <c r="F192">
        <f t="shared" si="67"/>
        <v>100</v>
      </c>
      <c r="G192" s="15"/>
      <c r="H192" s="41" t="str">
        <f t="shared" si="68"/>
        <v/>
      </c>
      <c r="I192" s="73" t="str">
        <f>IF(H192="","",IF($I$8="A",(RANK(H192,H$11:H$333,1)+COUNTIF(H$11:H192,H192)-1),(RANK(H192,H$11:H$333)+COUNTIF(H$11:H192,H192)-1)))</f>
        <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f>IF(I$8="A",(RANK(AG192,AG$11:AG$333,1)+COUNTIF(AG$11:AG192,AG192)-1),(RANK(AG192,AG$11:AG$333)+COUNTIF(AG$11:AG192,AG192)-1))</f>
        <v>181</v>
      </c>
      <c r="AF192" t="str">
        <f>VLOOKUP(Profile!$J$5,Families!$C:$R,2,FALSE)</f>
        <v>Cheshire West &amp; Chester</v>
      </c>
      <c r="AG192" s="15">
        <f t="shared" si="76"/>
        <v>100</v>
      </c>
      <c r="AH192" s="46">
        <f t="shared" si="88"/>
        <v>181</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100</v>
      </c>
    </row>
    <row r="193" spans="1:50">
      <c r="A193" s="55" t="str">
        <f>$D$1&amp;183</f>
        <v>UA183</v>
      </c>
      <c r="B193" s="56">
        <f>IF(ISERROR(VLOOKUP(A193,classifications!A:C,3,FALSE)),0,VLOOKUP(A193,classifications!A:C,3,FALSE))</f>
        <v>0</v>
      </c>
      <c r="C193" t="s">
        <v>277</v>
      </c>
      <c r="D193" t="str">
        <f>VLOOKUP($C193,classifications!$C:$J,4,FALSE)</f>
        <v>UA</v>
      </c>
      <c r="E193" t="str">
        <f>VLOOKUP(C193,classifications!C:K,9,FALSE)</f>
        <v>Sparse</v>
      </c>
      <c r="F193">
        <f t="shared" si="67"/>
        <v>88.888888888888886</v>
      </c>
      <c r="G193" s="15"/>
      <c r="H193" s="41">
        <f t="shared" si="68"/>
        <v>88.888888888888886</v>
      </c>
      <c r="I193" s="73">
        <f>IF(H193="","",IF($I$8="A",(RANK(H193,H$11:H$333,1)+COUNTIF(H$11:H193,H193)-1),(RANK(H193,H$11:H$333)+COUNTIF(H$11:H193,H193)-1)))</f>
        <v>38</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f>IF(I$8="A",(RANK(AG193,AG$11:AG$333,1)+COUNTIF(AG$11:AG193,AG193)-1),(RANK(AG193,AG$11:AG$333)+COUNTIF(AG$11:AG193,AG193)-1))</f>
        <v>182</v>
      </c>
      <c r="AF193" t="str">
        <f>VLOOKUP(Profile!$J$5,Families!$C:$R,2,FALSE)</f>
        <v>Cheshire West &amp; Chester</v>
      </c>
      <c r="AG193" s="15">
        <f t="shared" si="76"/>
        <v>100</v>
      </c>
      <c r="AH193" s="46">
        <f t="shared" si="88"/>
        <v>182</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88.888888888888886</v>
      </c>
    </row>
    <row r="194" spans="1:50">
      <c r="A194" s="55" t="str">
        <f>$D$1&amp;184</f>
        <v>UA184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t="str">
        <f t="shared" si="68"/>
        <v/>
      </c>
      <c r="I194" s="73" t="str">
        <f>IF(H194="","",IF($I$8="A",(RANK(H194,H$11:H$333,1)+COUNTIF(H$11:H194,H194)-1),(RANK(H194,H$11:H$333)+COUNTIF(H$11:H194,H194)-1)))</f>
        <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f>IF(I$8="A",(RANK(AG194,AG$11:AG$333,1)+COUNTIF(AG$11:AG194,AG194)-1),(RANK(AG194,AG$11:AG$333)+COUNTIF(AG$11:AG194,AG194)-1))</f>
        <v>183</v>
      </c>
      <c r="AF194" t="str">
        <f>VLOOKUP(Profile!$J$5,Families!$C:$R,2,FALSE)</f>
        <v>Cheshire West &amp; Chester</v>
      </c>
      <c r="AG194" s="15">
        <f t="shared" si="76"/>
        <v>100</v>
      </c>
      <c r="AH194" s="46">
        <f t="shared" si="88"/>
        <v>183</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UA185</v>
      </c>
      <c r="B195" s="56">
        <f>IF(ISERROR(VLOOKUP(A195,classifications!A:C,3,FALSE)),0,VLOOKUP(A195,classifications!A:C,3,FALSE))</f>
        <v>0</v>
      </c>
      <c r="C195" t="s">
        <v>897</v>
      </c>
      <c r="D195" t="str">
        <f>VLOOKUP($C195,classifications!$C:$J,4,FALSE)</f>
        <v>UA</v>
      </c>
      <c r="E195">
        <f>VLOOKUP(C195,classifications!C:K,9,FALSE)</f>
        <v>0</v>
      </c>
      <c r="F195">
        <f t="shared" si="67"/>
        <v>74.074074074074076</v>
      </c>
      <c r="G195" s="15"/>
      <c r="H195" s="41">
        <f t="shared" si="68"/>
        <v>74.074074074074076</v>
      </c>
      <c r="I195" s="73">
        <f>IF(H195="","",IF($I$8="A",(RANK(H195,H$11:H$333,1)+COUNTIF(H$11:H195,H195)-1),(RANK(H195,H$11:H$333)+COUNTIF(H$11:H195,H195)-1)))</f>
        <v>57</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f>IF(I$8="A",(RANK(AG195,AG$11:AG$333,1)+COUNTIF(AG$11:AG195,AG195)-1),(RANK(AG195,AG$11:AG$333)+COUNTIF(AG$11:AG195,AG195)-1))</f>
        <v>184</v>
      </c>
      <c r="AF195" t="str">
        <f>VLOOKUP(Profile!$J$5,Families!$C:$R,2,FALSE)</f>
        <v>Cheshire West &amp; Chester</v>
      </c>
      <c r="AG195" s="15">
        <f t="shared" si="76"/>
        <v>100</v>
      </c>
      <c r="AH195" s="46">
        <f t="shared" si="88"/>
        <v>184</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74.074074074074076</v>
      </c>
    </row>
    <row r="196" spans="1:50">
      <c r="A196" s="55" t="str">
        <f>$D$1&amp;186</f>
        <v>UA186</v>
      </c>
      <c r="B196" s="56">
        <f>IF(ISERROR(VLOOKUP(A196,classifications!A:C,3,FALSE)),0,VLOOKUP(A196,classifications!A:C,3,FALSE))</f>
        <v>0</v>
      </c>
      <c r="C196" t="s">
        <v>278</v>
      </c>
      <c r="D196" t="str">
        <f>VLOOKUP($C196,classifications!$C:$J,4,FALSE)</f>
        <v>UA</v>
      </c>
      <c r="E196" t="str">
        <f>VLOOKUP(C196,classifications!C:K,9,FALSE)</f>
        <v>Sparse</v>
      </c>
      <c r="F196">
        <f t="shared" si="67"/>
        <v>80</v>
      </c>
      <c r="G196" s="15"/>
      <c r="H196" s="41">
        <f t="shared" si="68"/>
        <v>80</v>
      </c>
      <c r="I196" s="73">
        <f>IF(H196="","",IF($I$8="A",(RANK(H196,H$11:H$333,1)+COUNTIF(H$11:H196,H196)-1),(RANK(H196,H$11:H$333)+COUNTIF(H$11:H196,H196)-1)))</f>
        <v>54</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f>IF(I$8="A",(RANK(AG196,AG$11:AG$333,1)+COUNTIF(AG$11:AG196,AG196)-1),(RANK(AG196,AG$11:AG$333)+COUNTIF(AG$11:AG196,AG196)-1))</f>
        <v>185</v>
      </c>
      <c r="AF196" t="str">
        <f>VLOOKUP(Profile!$J$5,Families!$C:$R,2,FALSE)</f>
        <v>Cheshire West &amp; Chester</v>
      </c>
      <c r="AG196" s="15">
        <f t="shared" si="76"/>
        <v>100</v>
      </c>
      <c r="AH196" s="46">
        <f t="shared" si="88"/>
        <v>185</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80</v>
      </c>
    </row>
    <row r="197" spans="1:50">
      <c r="A197" s="55" t="str">
        <f>$D$1&amp;187</f>
        <v>UA187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f>IF(I$8="A",(RANK(AG197,AG$11:AG$333,1)+COUNTIF(AG$11:AG197,AG197)-1),(RANK(AG197,AG$11:AG$333)+COUNTIF(AG$11:AG197,AG197)-1))</f>
        <v>186</v>
      </c>
      <c r="AF197" t="str">
        <f>VLOOKUP(Profile!$J$5,Families!$C:$R,2,FALSE)</f>
        <v>Cheshire West &amp; Chester</v>
      </c>
      <c r="AG197" s="15">
        <f t="shared" si="76"/>
        <v>100</v>
      </c>
      <c r="AH197" s="46">
        <f t="shared" si="88"/>
        <v>186</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UA188</v>
      </c>
      <c r="B198" s="56">
        <f>IF(ISERROR(VLOOKUP(A198,classifications!A:C,3,FALSE)),0,VLOOKUP(A198,classifications!A:C,3,FALSE))</f>
        <v>0</v>
      </c>
      <c r="C198" t="s">
        <v>114</v>
      </c>
      <c r="D198" t="str">
        <f>VLOOKUP($C198,classifications!$C:$J,4,FALSE)</f>
        <v>SD</v>
      </c>
      <c r="E198">
        <f>VLOOKUP(C198,classifications!C:K,9,FALSE)</f>
        <v>0</v>
      </c>
      <c r="F198">
        <f t="shared" si="67"/>
        <v>100</v>
      </c>
      <c r="G198" s="15"/>
      <c r="H198" s="41" t="str">
        <f t="shared" si="68"/>
        <v/>
      </c>
      <c r="I198" s="73" t="str">
        <f>IF(H198="","",IF($I$8="A",(RANK(H198,H$11:H$333,1)+COUNTIF(H$11:H198,H198)-1),(RANK(H198,H$11:H$333)+COUNTIF(H$11:H198,H198)-1)))</f>
        <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f>IF(I$8="A",(RANK(AG198,AG$11:AG$333,1)+COUNTIF(AG$11:AG198,AG198)-1),(RANK(AG198,AG$11:AG$333)+COUNTIF(AG$11:AG198,AG198)-1))</f>
        <v>187</v>
      </c>
      <c r="AF198" t="str">
        <f>VLOOKUP(Profile!$J$5,Families!$C:$R,2,FALSE)</f>
        <v>Cheshire West &amp; Chester</v>
      </c>
      <c r="AG198" s="15">
        <f t="shared" si="76"/>
        <v>100</v>
      </c>
      <c r="AH198" s="46">
        <f t="shared" si="88"/>
        <v>187</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100</v>
      </c>
    </row>
    <row r="199" spans="1:50">
      <c r="A199" s="55" t="str">
        <f>$D$1&amp;189</f>
        <v>UA189</v>
      </c>
      <c r="B199" s="56">
        <f>IF(ISERROR(VLOOKUP(A199,classifications!A:C,3,FALSE)),0,VLOOKUP(A199,classifications!A:C,3,FALSE))</f>
        <v>0</v>
      </c>
      <c r="C199" t="s">
        <v>115</v>
      </c>
      <c r="D199" t="str">
        <f>VLOOKUP($C199,classifications!$C:$J,4,FALSE)</f>
        <v>SD</v>
      </c>
      <c r="E199">
        <f>VLOOKUP(C199,classifications!C:K,9,FALSE)</f>
        <v>0</v>
      </c>
      <c r="F199">
        <f t="shared" si="67"/>
        <v>81.818181818181827</v>
      </c>
      <c r="G199" s="15"/>
      <c r="H199" s="41" t="str">
        <f t="shared" si="68"/>
        <v/>
      </c>
      <c r="I199" s="73" t="str">
        <f>IF(H199="","",IF($I$8="A",(RANK(H199,H$11:H$333,1)+COUNTIF(H$11:H199,H199)-1),(RANK(H199,H$11:H$333)+COUNTIF(H$11:H199,H199)-1)))</f>
        <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f>IF(I$8="A",(RANK(AG199,AG$11:AG$333,1)+COUNTIF(AG$11:AG199,AG199)-1),(RANK(AG199,AG$11:AG$333)+COUNTIF(AG$11:AG199,AG199)-1))</f>
        <v>188</v>
      </c>
      <c r="AF199" t="str">
        <f>VLOOKUP(Profile!$J$5,Families!$C:$R,2,FALSE)</f>
        <v>Cheshire West &amp; Chester</v>
      </c>
      <c r="AG199" s="15">
        <f t="shared" si="76"/>
        <v>100</v>
      </c>
      <c r="AH199" s="46">
        <f t="shared" si="88"/>
        <v>188</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81.818181818181827</v>
      </c>
    </row>
    <row r="200" spans="1:50">
      <c r="A200" s="55" t="str">
        <f>$D$1&amp;190</f>
        <v>UA190</v>
      </c>
      <c r="B200" s="56">
        <f>IF(ISERROR(VLOOKUP(A200,classifications!A:C,3,FALSE)),0,VLOOKUP(A200,classifications!A:C,3,FALSE))</f>
        <v>0</v>
      </c>
      <c r="C200" t="s">
        <v>320</v>
      </c>
      <c r="D200" t="str">
        <f>VLOOKUP($C200,classifications!$C:$J,4,FALSE)</f>
        <v>UA</v>
      </c>
      <c r="E200" t="str">
        <f>VLOOKUP(C200,classifications!C:K,9,FALSE)</f>
        <v>Sparse</v>
      </c>
      <c r="F200">
        <f t="shared" si="67"/>
        <v>91.044776119402982</v>
      </c>
      <c r="G200" s="15"/>
      <c r="H200" s="41">
        <f t="shared" si="68"/>
        <v>91.044776119402982</v>
      </c>
      <c r="I200" s="73">
        <f>IF(H200="","",IF($I$8="A",(RANK(H200,H$11:H$333,1)+COUNTIF(H$11:H200,H200)-1),(RANK(H200,H$11:H$333)+COUNTIF(H$11:H200,H200)-1)))</f>
        <v>31</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f>IF(I$8="A",(RANK(AG200,AG$11:AG$333,1)+COUNTIF(AG$11:AG200,AG200)-1),(RANK(AG200,AG$11:AG$333)+COUNTIF(AG$11:AG200,AG200)-1))</f>
        <v>189</v>
      </c>
      <c r="AF200" t="str">
        <f>VLOOKUP(Profile!$J$5,Families!$C:$R,2,FALSE)</f>
        <v>Cheshire West &amp; Chester</v>
      </c>
      <c r="AG200" s="15">
        <f t="shared" si="76"/>
        <v>100</v>
      </c>
      <c r="AH200" s="46">
        <f t="shared" si="88"/>
        <v>189</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91.044776119402982</v>
      </c>
    </row>
    <row r="201" spans="1:50">
      <c r="A201" s="55" t="str">
        <f>$D$1&amp;191</f>
        <v>UA191</v>
      </c>
      <c r="B201" s="56">
        <f>IF(ISERROR(VLOOKUP(A201,classifications!A:C,3,FALSE)),0,VLOOKUP(A201,classifications!A:C,3,FALSE))</f>
        <v>0</v>
      </c>
      <c r="C201" t="s">
        <v>322</v>
      </c>
      <c r="D201" t="str">
        <f>VLOOKUP($C201,classifications!$C:$J,4,FALSE)</f>
        <v>UA</v>
      </c>
      <c r="E201" t="str">
        <f>VLOOKUP(C201,classifications!C:K,9,FALSE)</f>
        <v>Sparse</v>
      </c>
      <c r="F201">
        <f t="shared" si="67"/>
        <v>87.5</v>
      </c>
      <c r="G201" s="15"/>
      <c r="H201" s="41">
        <f t="shared" si="68"/>
        <v>87.5</v>
      </c>
      <c r="I201" s="73">
        <f>IF(H201="","",IF($I$8="A",(RANK(H201,H$11:H$333,1)+COUNTIF(H$11:H201,H201)-1),(RANK(H201,H$11:H$333)+COUNTIF(H$11:H201,H201)-1)))</f>
        <v>45</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f>IF(I$8="A",(RANK(AG201,AG$11:AG$333,1)+COUNTIF(AG$11:AG201,AG201)-1),(RANK(AG201,AG$11:AG$333)+COUNTIF(AG$11:AG201,AG201)-1))</f>
        <v>190</v>
      </c>
      <c r="AF201" t="str">
        <f>VLOOKUP(Profile!$J$5,Families!$C:$R,2,FALSE)</f>
        <v>Cheshire West &amp; Chester</v>
      </c>
      <c r="AG201" s="15">
        <f t="shared" si="76"/>
        <v>100</v>
      </c>
      <c r="AH201" s="46">
        <f t="shared" si="88"/>
        <v>190</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87.5</v>
      </c>
    </row>
    <row r="202" spans="1:50">
      <c r="A202" s="55" t="str">
        <f>$D$1&amp;192</f>
        <v>UA192</v>
      </c>
      <c r="B202" s="56">
        <f>IF(ISERROR(VLOOKUP(A202,classifications!A:C,3,FALSE)),0,VLOOKUP(A202,classifications!A:C,3,FALSE))</f>
        <v>0</v>
      </c>
      <c r="C202" t="s">
        <v>117</v>
      </c>
      <c r="D202" t="str">
        <f>VLOOKUP($C202,classifications!$C:$J,4,FALSE)</f>
        <v>SD</v>
      </c>
      <c r="E202">
        <f>VLOOKUP(C202,classifications!C:K,9,FALSE)</f>
        <v>0</v>
      </c>
      <c r="F202">
        <f t="shared" si="67"/>
        <v>100</v>
      </c>
      <c r="G202" s="15"/>
      <c r="H202" s="41" t="str">
        <f t="shared" si="68"/>
        <v/>
      </c>
      <c r="I202" s="73" t="str">
        <f>IF(H202="","",IF($I$8="A",(RANK(H202,H$11:H$333,1)+COUNTIF(H$11:H202,H202)-1),(RANK(H202,H$11:H$333)+COUNTIF(H$11:H202,H202)-1)))</f>
        <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f>IF(I$8="A",(RANK(AG202,AG$11:AG$333,1)+COUNTIF(AG$11:AG202,AG202)-1),(RANK(AG202,AG$11:AG$333)+COUNTIF(AG$11:AG202,AG202)-1))</f>
        <v>191</v>
      </c>
      <c r="AF202" t="str">
        <f>VLOOKUP(Profile!$J$5,Families!$C:$R,2,FALSE)</f>
        <v>Cheshire West &amp; Chester</v>
      </c>
      <c r="AG202" s="15">
        <f t="shared" si="76"/>
        <v>100</v>
      </c>
      <c r="AH202" s="46">
        <f t="shared" si="88"/>
        <v>191</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100</v>
      </c>
    </row>
    <row r="203" spans="1:50">
      <c r="A203" s="55" t="str">
        <f>$D$1&amp;193</f>
        <v>UA193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75</v>
      </c>
      <c r="G203" s="15"/>
      <c r="H203" s="41">
        <f t="shared" ref="H203:H266" si="92">IF(D203=$D$1,HLOOKUP($D$6,$AX$10:$ZZ$337,ROW()-9,FALSE),"")</f>
        <v>75</v>
      </c>
      <c r="I203" s="73">
        <f>IF(H203="","",IF($I$8="A",(RANK(H203,H$11:H$333,1)+COUNTIF(H$11:H203,H203)-1),(RANK(H203,H$11:H$333)+COUNTIF(H$11:H203,H203)-1)))</f>
        <v>55</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f>IF(I$8="A",(RANK(AG203,AG$11:AG$333,1)+COUNTIF(AG$11:AG203,AG203)-1),(RANK(AG203,AG$11:AG$333)+COUNTIF(AG$11:AG203,AG203)-1))</f>
        <v>192</v>
      </c>
      <c r="AF203" t="str">
        <f>VLOOKUP(Profile!$J$5,Families!$C:$R,2,FALSE)</f>
        <v>Cheshire West &amp; Chester</v>
      </c>
      <c r="AG203" s="15">
        <f t="shared" si="76"/>
        <v>100</v>
      </c>
      <c r="AH203" s="46">
        <f t="shared" si="88"/>
        <v>192</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75</v>
      </c>
    </row>
    <row r="204" spans="1:50">
      <c r="A204" s="55" t="str">
        <f>$D$1&amp;194</f>
        <v>UA194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f>IF(I$8="A",(RANK(AG204,AG$11:AG$333,1)+COUNTIF(AG$11:AG204,AG204)-1),(RANK(AG204,AG$11:AG$333)+COUNTIF(AG$11:AG204,AG204)-1))</f>
        <v>193</v>
      </c>
      <c r="AF204" t="str">
        <f>VLOOKUP(Profile!$J$5,Families!$C:$R,2,FALSE)</f>
        <v>Cheshire West &amp; Chester</v>
      </c>
      <c r="AG204" s="15">
        <f t="shared" ref="AG204:AG267" si="100">VLOOKUP(AF204,$C$11:$H$333,4,FALSE)</f>
        <v>100</v>
      </c>
      <c r="AH204" s="46">
        <f t="shared" si="88"/>
        <v>193</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UA195</v>
      </c>
      <c r="B205" s="56">
        <f>IF(ISERROR(VLOOKUP(A205,classifications!A:C,3,FALSE)),0,VLOOKUP(A205,classifications!A:C,3,FALSE))</f>
        <v>0</v>
      </c>
      <c r="C205" t="s">
        <v>346</v>
      </c>
      <c r="D205" t="str">
        <f>VLOOKUP($C205,classifications!$C:$J,4,FALSE)</f>
        <v>SD</v>
      </c>
      <c r="E205">
        <f>VLOOKUP(C205,classifications!C:K,9,FALSE)</f>
        <v>0</v>
      </c>
      <c r="F205">
        <f t="shared" si="91"/>
        <v>66.666666666666657</v>
      </c>
      <c r="G205" s="15"/>
      <c r="H205" s="41" t="str">
        <f t="shared" si="92"/>
        <v/>
      </c>
      <c r="I205" s="73" t="str">
        <f>IF(H205="","",IF($I$8="A",(RANK(H205,H$11:H$333,1)+COUNTIF(H$11:H205,H205)-1),(RANK(H205,H$11:H$333)+COUNTIF(H$11:H205,H205)-1)))</f>
        <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f>IF(I$8="A",(RANK(AG205,AG$11:AG$333,1)+COUNTIF(AG$11:AG205,AG205)-1),(RANK(AG205,AG$11:AG$333)+COUNTIF(AG$11:AG205,AG205)-1))</f>
        <v>194</v>
      </c>
      <c r="AF205" t="str">
        <f>VLOOKUP(Profile!$J$5,Families!$C:$R,2,FALSE)</f>
        <v>Cheshire West &amp; Chester</v>
      </c>
      <c r="AG205" s="15">
        <f t="shared" si="100"/>
        <v>100</v>
      </c>
      <c r="AH205" s="46">
        <f t="shared" si="88"/>
        <v>194</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66.666666666666657</v>
      </c>
    </row>
    <row r="206" spans="1:50">
      <c r="A206" s="55" t="str">
        <f>$D$1&amp;196</f>
        <v>UA196</v>
      </c>
      <c r="B206" s="56">
        <f>IF(ISERROR(VLOOKUP(A206,classifications!A:C,3,FALSE)),0,VLOOKUP(A206,classifications!A:C,3,FALSE))</f>
        <v>0</v>
      </c>
      <c r="C206" t="s">
        <v>347</v>
      </c>
      <c r="D206" t="str">
        <f>VLOOKUP($C206,classifications!$C:$J,4,FALSE)</f>
        <v>SD</v>
      </c>
      <c r="E206">
        <f>VLOOKUP(C206,classifications!C:K,9,FALSE)</f>
        <v>0</v>
      </c>
      <c r="F206">
        <f t="shared" si="91"/>
        <v>0</v>
      </c>
      <c r="G206" s="15"/>
      <c r="H206" s="41" t="str">
        <f t="shared" si="92"/>
        <v/>
      </c>
      <c r="I206" s="73" t="str">
        <f>IF(H206="","",IF($I$8="A",(RANK(H206,H$11:H$333,1)+COUNTIF(H$11:H206,H206)-1),(RANK(H206,H$11:H$333)+COUNTIF(H$11:H206,H206)-1)))</f>
        <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f>IF(I$8="A",(RANK(AG206,AG$11:AG$333,1)+COUNTIF(AG$11:AG206,AG206)-1),(RANK(AG206,AG$11:AG$333)+COUNTIF(AG$11:AG206,AG206)-1))</f>
        <v>195</v>
      </c>
      <c r="AF206" t="str">
        <f>VLOOKUP(Profile!$J$5,Families!$C:$R,2,FALSE)</f>
        <v>Cheshire West &amp; Chester</v>
      </c>
      <c r="AG206" s="15">
        <f t="shared" si="100"/>
        <v>100</v>
      </c>
      <c r="AH206" s="46">
        <f t="shared" si="88"/>
        <v>195</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0</v>
      </c>
    </row>
    <row r="207" spans="1:50">
      <c r="A207" s="55" t="str">
        <f>$D$1&amp;197</f>
        <v>UA197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f>IF(I$8="A",(RANK(AG207,AG$11:AG$333,1)+COUNTIF(AG$11:AG207,AG207)-1),(RANK(AG207,AG$11:AG$333)+COUNTIF(AG$11:AG207,AG207)-1))</f>
        <v>196</v>
      </c>
      <c r="AF207" t="str">
        <f>VLOOKUP(Profile!$J$5,Families!$C:$R,2,FALSE)</f>
        <v>Cheshire West &amp; Chester</v>
      </c>
      <c r="AG207" s="15">
        <f t="shared" si="100"/>
        <v>100</v>
      </c>
      <c r="AH207" s="46">
        <f t="shared" si="88"/>
        <v>196</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UA198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t="str">
        <f t="shared" si="92"/>
        <v/>
      </c>
      <c r="I208" s="73" t="str">
        <f>IF(H208="","",IF($I$8="A",(RANK(H208,H$11:H$333,1)+COUNTIF(H$11:H208,H208)-1),(RANK(H208,H$11:H$333)+COUNTIF(H$11:H208,H208)-1)))</f>
        <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f>IF(I$8="A",(RANK(AG208,AG$11:AG$333,1)+COUNTIF(AG$11:AG208,AG208)-1),(RANK(AG208,AG$11:AG$333)+COUNTIF(AG$11:AG208,AG208)-1))</f>
        <v>197</v>
      </c>
      <c r="AF208" t="str">
        <f>VLOOKUP(Profile!$J$5,Families!$C:$R,2,FALSE)</f>
        <v>Cheshire West &amp; Chester</v>
      </c>
      <c r="AG208" s="15">
        <f t="shared" si="100"/>
        <v>100</v>
      </c>
      <c r="AH208" s="46">
        <f t="shared" si="88"/>
        <v>197</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UA199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f>IF(I$8="A",(RANK(AG209,AG$11:AG$333,1)+COUNTIF(AG$11:AG209,AG209)-1),(RANK(AG209,AG$11:AG$333)+COUNTIF(AG$11:AG209,AG209)-1))</f>
        <v>198</v>
      </c>
      <c r="AF209" t="str">
        <f>VLOOKUP(Profile!$J$5,Families!$C:$R,2,FALSE)</f>
        <v>Cheshire West &amp; Chester</v>
      </c>
      <c r="AG209" s="15">
        <f t="shared" si="100"/>
        <v>100</v>
      </c>
      <c r="AH209" s="46">
        <f t="shared" si="88"/>
        <v>198</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UA200</v>
      </c>
      <c r="B210" s="56">
        <f>IF(ISERROR(VLOOKUP(A210,classifications!A:C,3,FALSE)),0,VLOOKUP(A210,classifications!A:C,3,FALSE))</f>
        <v>0</v>
      </c>
      <c r="C210" t="s">
        <v>119</v>
      </c>
      <c r="D210" t="str">
        <f>VLOOKUP($C210,classifications!$C:$J,4,FALSE)</f>
        <v>SD</v>
      </c>
      <c r="E210">
        <f>VLOOKUP(C210,classifications!C:K,9,FALSE)</f>
        <v>0</v>
      </c>
      <c r="F210">
        <f t="shared" si="91"/>
        <v>100</v>
      </c>
      <c r="G210" s="15"/>
      <c r="H210" s="41" t="str">
        <f t="shared" si="92"/>
        <v/>
      </c>
      <c r="I210" s="73" t="str">
        <f>IF(H210="","",IF($I$8="A",(RANK(H210,H$11:H$333,1)+COUNTIF(H$11:H210,H210)-1),(RANK(H210,H$11:H$333)+COUNTIF(H$11:H210,H210)-1)))</f>
        <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f>IF(I$8="A",(RANK(AG210,AG$11:AG$333,1)+COUNTIF(AG$11:AG210,AG210)-1),(RANK(AG210,AG$11:AG$333)+COUNTIF(AG$11:AG210,AG210)-1))</f>
        <v>199</v>
      </c>
      <c r="AF210" t="str">
        <f>VLOOKUP(Profile!$J$5,Families!$C:$R,2,FALSE)</f>
        <v>Cheshire West &amp; Chester</v>
      </c>
      <c r="AG210" s="15">
        <f t="shared" si="100"/>
        <v>100</v>
      </c>
      <c r="AH210" s="46">
        <f t="shared" si="88"/>
        <v>199</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100</v>
      </c>
    </row>
    <row r="211" spans="1:50">
      <c r="A211" s="55" t="str">
        <f>$D$1&amp;201</f>
        <v>UA201</v>
      </c>
      <c r="B211" s="56">
        <f>IF(ISERROR(VLOOKUP(A211,classifications!A:C,3,FALSE)),0,VLOOKUP(A211,classifications!A:C,3,FALSE))</f>
        <v>0</v>
      </c>
      <c r="C211" t="s">
        <v>280</v>
      </c>
      <c r="D211" t="str">
        <f>VLOOKUP($C211,classifications!$C:$J,4,FALSE)</f>
        <v>UA</v>
      </c>
      <c r="E211">
        <f>VLOOKUP(C211,classifications!C:K,9,FALSE)</f>
        <v>0</v>
      </c>
      <c r="F211">
        <f t="shared" si="91"/>
        <v>91.666666666666657</v>
      </c>
      <c r="G211" s="15"/>
      <c r="H211" s="41">
        <f t="shared" si="92"/>
        <v>91.666666666666657</v>
      </c>
      <c r="I211" s="73">
        <f>IF(H211="","",IF($I$8="A",(RANK(H211,H$11:H$333,1)+COUNTIF(H$11:H211,H211)-1),(RANK(H211,H$11:H$333)+COUNTIF(H$11:H211,H211)-1)))</f>
        <v>29</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f>IF(I$8="A",(RANK(AG211,AG$11:AG$333,1)+COUNTIF(AG$11:AG211,AG211)-1),(RANK(AG211,AG$11:AG$333)+COUNTIF(AG$11:AG211,AG211)-1))</f>
        <v>200</v>
      </c>
      <c r="AF211" t="str">
        <f>VLOOKUP(Profile!$J$5,Families!$C:$R,2,FALSE)</f>
        <v>Cheshire West &amp; Chester</v>
      </c>
      <c r="AG211" s="15">
        <f t="shared" si="100"/>
        <v>100</v>
      </c>
      <c r="AH211" s="46">
        <f t="shared" si="88"/>
        <v>200</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91.666666666666657</v>
      </c>
    </row>
    <row r="212" spans="1:50">
      <c r="A212" s="55" t="str">
        <f>$D$1&amp;202</f>
        <v>UA202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f t="shared" si="92"/>
        <v>100</v>
      </c>
      <c r="I212" s="73">
        <f>IF(H212="","",IF($I$8="A",(RANK(H212,H$11:H$333,1)+COUNTIF(H$11:H212,H212)-1),(RANK(H212,H$11:H$333)+COUNTIF(H$11:H212,H212)-1)))</f>
        <v>14</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f>IF(I$8="A",(RANK(AG212,AG$11:AG$333,1)+COUNTIF(AG$11:AG212,AG212)-1),(RANK(AG212,AG$11:AG$333)+COUNTIF(AG$11:AG212,AG212)-1))</f>
        <v>201</v>
      </c>
      <c r="AF212" t="str">
        <f>VLOOKUP(Profile!$J$5,Families!$C:$R,2,FALSE)</f>
        <v>Cheshire West &amp; Chester</v>
      </c>
      <c r="AG212" s="15">
        <f t="shared" si="100"/>
        <v>100</v>
      </c>
      <c r="AH212" s="46">
        <f t="shared" si="88"/>
        <v>201</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UA203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f t="shared" si="92"/>
        <v>100</v>
      </c>
      <c r="I213" s="73">
        <f>IF(H213="","",IF($I$8="A",(RANK(H213,H$11:H$333,1)+COUNTIF(H$11:H213,H213)-1),(RANK(H213,H$11:H$333)+COUNTIF(H$11:H213,H213)-1)))</f>
        <v>15</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f>IF(I$8="A",(RANK(AG213,AG$11:AG$333,1)+COUNTIF(AG$11:AG213,AG213)-1),(RANK(AG213,AG$11:AG$333)+COUNTIF(AG$11:AG213,AG213)-1))</f>
        <v>202</v>
      </c>
      <c r="AF213" t="str">
        <f>VLOOKUP(Profile!$J$5,Families!$C:$R,2,FALSE)</f>
        <v>Cheshire West &amp; Chester</v>
      </c>
      <c r="AG213" s="15">
        <f t="shared" si="100"/>
        <v>100</v>
      </c>
      <c r="AH213" s="46">
        <f t="shared" si="88"/>
        <v>202</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UA204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t="str">
        <f t="shared" si="92"/>
        <v/>
      </c>
      <c r="I214" s="73" t="str">
        <f>IF(H214="","",IF($I$8="A",(RANK(H214,H$11:H$333,1)+COUNTIF(H$11:H214,H214)-1),(RANK(H214,H$11:H$333)+COUNTIF(H$11:H214,H214)-1)))</f>
        <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f>IF(I$8="A",(RANK(AG214,AG$11:AG$333,1)+COUNTIF(AG$11:AG214,AG214)-1),(RANK(AG214,AG$11:AG$333)+COUNTIF(AG$11:AG214,AG214)-1))</f>
        <v>203</v>
      </c>
      <c r="AF214" t="str">
        <f>VLOOKUP(Profile!$J$5,Families!$C:$R,2,FALSE)</f>
        <v>Cheshire West &amp; Chester</v>
      </c>
      <c r="AG214" s="15">
        <f t="shared" si="100"/>
        <v>100</v>
      </c>
      <c r="AH214" s="46">
        <f t="shared" si="88"/>
        <v>203</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UA205</v>
      </c>
      <c r="B215" s="56">
        <f>IF(ISERROR(VLOOKUP(A215,classifications!A:C,3,FALSE)),0,VLOOKUP(A215,classifications!A:C,3,FALSE))</f>
        <v>0</v>
      </c>
      <c r="C215" t="s">
        <v>284</v>
      </c>
      <c r="D215" t="str">
        <f>VLOOKUP($C215,classifications!$C:$J,4,FALSE)</f>
        <v>UA</v>
      </c>
      <c r="E215">
        <f>VLOOKUP(C215,classifications!C:K,9,FALSE)</f>
        <v>0</v>
      </c>
      <c r="F215">
        <f t="shared" si="91"/>
        <v>100</v>
      </c>
      <c r="G215" s="15"/>
      <c r="H215" s="41">
        <f t="shared" si="92"/>
        <v>100</v>
      </c>
      <c r="I215" s="73">
        <f>IF(H215="","",IF($I$8="A",(RANK(H215,H$11:H$333,1)+COUNTIF(H$11:H215,H215)-1),(RANK(H215,H$11:H$333)+COUNTIF(H$11:H215,H215)-1)))</f>
        <v>16</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f>IF(I$8="A",(RANK(AG215,AG$11:AG$333,1)+COUNTIF(AG$11:AG215,AG215)-1),(RANK(AG215,AG$11:AG$333)+COUNTIF(AG$11:AG215,AG215)-1))</f>
        <v>204</v>
      </c>
      <c r="AF215" t="str">
        <f>VLOOKUP(Profile!$J$5,Families!$C:$R,2,FALSE)</f>
        <v>Cheshire West &amp; Chester</v>
      </c>
      <c r="AG215" s="15">
        <f t="shared" si="100"/>
        <v>100</v>
      </c>
      <c r="AH215" s="46">
        <f t="shared" si="88"/>
        <v>204</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100</v>
      </c>
    </row>
    <row r="216" spans="1:50">
      <c r="A216" s="55" t="str">
        <f>$D$1&amp;206</f>
        <v>UA206</v>
      </c>
      <c r="B216" s="56">
        <f>IF(ISERROR(VLOOKUP(A216,classifications!A:C,3,FALSE)),0,VLOOKUP(A216,classifications!A:C,3,FALSE))</f>
        <v>0</v>
      </c>
      <c r="C216" t="s">
        <v>216</v>
      </c>
      <c r="D216" t="str">
        <f>VLOOKUP($C216,classifications!$C:$J,4,FALSE)</f>
        <v>L</v>
      </c>
      <c r="E216">
        <f>VLOOKUP(C216,classifications!C:K,9,FALSE)</f>
        <v>0</v>
      </c>
      <c r="F216">
        <f t="shared" si="91"/>
        <v>100</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f>IF(I$8="A",(RANK(AG216,AG$11:AG$333,1)+COUNTIF(AG$11:AG216,AG216)-1),(RANK(AG216,AG$11:AG$333)+COUNTIF(AG$11:AG216,AG216)-1))</f>
        <v>205</v>
      </c>
      <c r="AF216" t="str">
        <f>VLOOKUP(Profile!$J$5,Families!$C:$R,2,FALSE)</f>
        <v>Cheshire West &amp; Chester</v>
      </c>
      <c r="AG216" s="15">
        <f t="shared" si="100"/>
        <v>100</v>
      </c>
      <c r="AH216" s="46">
        <f t="shared" si="88"/>
        <v>205</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100</v>
      </c>
    </row>
    <row r="217" spans="1:50">
      <c r="A217" s="55" t="str">
        <f>$D$1&amp;207</f>
        <v>UA207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f t="shared" si="92"/>
        <v>100</v>
      </c>
      <c r="I217" s="73">
        <f>IF(H217="","",IF($I$8="A",(RANK(H217,H$11:H$333,1)+COUNTIF(H$11:H217,H217)-1),(RANK(H217,H$11:H$333)+COUNTIF(H$11:H217,H217)-1)))</f>
        <v>17</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f>IF(I$8="A",(RANK(AG217,AG$11:AG$333,1)+COUNTIF(AG$11:AG217,AG217)-1),(RANK(AG217,AG$11:AG$333)+COUNTIF(AG$11:AG217,AG217)-1))</f>
        <v>206</v>
      </c>
      <c r="AF217" t="str">
        <f>VLOOKUP(Profile!$J$5,Families!$C:$R,2,FALSE)</f>
        <v>Cheshire West &amp; Chester</v>
      </c>
      <c r="AG217" s="15">
        <f t="shared" si="100"/>
        <v>100</v>
      </c>
      <c r="AH217" s="46">
        <f t="shared" si="88"/>
        <v>206</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UA208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t="str">
        <f t="shared" si="92"/>
        <v/>
      </c>
      <c r="I218" s="73" t="str">
        <f>IF(H218="","",IF($I$8="A",(RANK(H218,H$11:H$333,1)+COUNTIF(H$11:H218,H218)-1),(RANK(H218,H$11:H$333)+COUNTIF(H$11:H218,H218)-1)))</f>
        <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f>IF(I$8="A",(RANK(AG218,AG$11:AG$333,1)+COUNTIF(AG$11:AG218,AG218)-1),(RANK(AG218,AG$11:AG$333)+COUNTIF(AG$11:AG218,AG218)-1))</f>
        <v>207</v>
      </c>
      <c r="AF218" t="str">
        <f>VLOOKUP(Profile!$J$5,Families!$C:$R,2,FALSE)</f>
        <v>Cheshire West &amp; Chester</v>
      </c>
      <c r="AG218" s="15">
        <f t="shared" si="100"/>
        <v>100</v>
      </c>
      <c r="AH218" s="46">
        <f t="shared" si="88"/>
        <v>207</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UA209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t="str">
        <f t="shared" si="92"/>
        <v/>
      </c>
      <c r="I219" s="73" t="str">
        <f>IF(H219="","",IF($I$8="A",(RANK(H219,H$11:H$333,1)+COUNTIF(H$11:H219,H219)-1),(RANK(H219,H$11:H$333)+COUNTIF(H$11:H219,H219)-1)))</f>
        <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f>IF(I$8="A",(RANK(AG219,AG$11:AG$333,1)+COUNTIF(AG$11:AG219,AG219)-1),(RANK(AG219,AG$11:AG$333)+COUNTIF(AG$11:AG219,AG219)-1))</f>
        <v>208</v>
      </c>
      <c r="AF219" t="str">
        <f>VLOOKUP(Profile!$J$5,Families!$C:$R,2,FALSE)</f>
        <v>Cheshire West &amp; Chester</v>
      </c>
      <c r="AG219" s="15">
        <f t="shared" si="100"/>
        <v>100</v>
      </c>
      <c r="AH219" s="46">
        <f t="shared" si="88"/>
        <v>208</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UA210</v>
      </c>
      <c r="B220" s="56">
        <f>IF(ISERROR(VLOOKUP(A220,classifications!A:C,3,FALSE)),0,VLOOKUP(A220,classifications!A:C,3,FALSE))</f>
        <v>0</v>
      </c>
      <c r="C220" t="s">
        <v>123</v>
      </c>
      <c r="D220" t="str">
        <f>VLOOKUP($C220,classifications!$C:$J,4,FALSE)</f>
        <v>SD</v>
      </c>
      <c r="E220" t="str">
        <f>VLOOKUP(C220,classifications!C:K,9,FALSE)</f>
        <v>Sparse</v>
      </c>
      <c r="F220">
        <f t="shared" si="91"/>
        <v>100</v>
      </c>
      <c r="G220" s="15"/>
      <c r="H220" s="41" t="str">
        <f t="shared" si="92"/>
        <v/>
      </c>
      <c r="I220" s="73" t="str">
        <f>IF(H220="","",IF($I$8="A",(RANK(H220,H$11:H$333,1)+COUNTIF(H$11:H220,H220)-1),(RANK(H220,H$11:H$333)+COUNTIF(H$11:H220,H220)-1)))</f>
        <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f>IF(I$8="A",(RANK(AG220,AG$11:AG$333,1)+COUNTIF(AG$11:AG220,AG220)-1),(RANK(AG220,AG$11:AG$333)+COUNTIF(AG$11:AG220,AG220)-1))</f>
        <v>209</v>
      </c>
      <c r="AF220" t="str">
        <f>VLOOKUP(Profile!$J$5,Families!$C:$R,2,FALSE)</f>
        <v>Cheshire West &amp; Chester</v>
      </c>
      <c r="AG220" s="15">
        <f t="shared" si="100"/>
        <v>100</v>
      </c>
      <c r="AH220" s="46">
        <f t="shared" si="88"/>
        <v>209</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100</v>
      </c>
    </row>
    <row r="221" spans="1:50">
      <c r="A221" s="55" t="str">
        <f>$D$1&amp;211</f>
        <v>UA211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f>IF(I$8="A",(RANK(AG221,AG$11:AG$333,1)+COUNTIF(AG$11:AG221,AG221)-1),(RANK(AG221,AG$11:AG$333)+COUNTIF(AG$11:AG221,AG221)-1))</f>
        <v>210</v>
      </c>
      <c r="AF221" t="str">
        <f>VLOOKUP(Profile!$J$5,Families!$C:$R,2,FALSE)</f>
        <v>Cheshire West &amp; Chester</v>
      </c>
      <c r="AG221" s="15">
        <f t="shared" si="100"/>
        <v>100</v>
      </c>
      <c r="AH221" s="46">
        <f t="shared" si="88"/>
        <v>210</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UA212</v>
      </c>
      <c r="B222" s="56">
        <f>IF(ISERROR(VLOOKUP(A222,classifications!A:C,3,FALSE)),0,VLOOKUP(A222,classifications!A:C,3,FALSE))</f>
        <v>0</v>
      </c>
      <c r="C222" t="s">
        <v>240</v>
      </c>
      <c r="D222" t="str">
        <f>VLOOKUP($C222,classifications!$C:$J,4,FALSE)</f>
        <v>MD</v>
      </c>
      <c r="E222">
        <f>VLOOKUP(C222,classifications!C:K,9,FALSE)</f>
        <v>0</v>
      </c>
      <c r="F222">
        <f t="shared" si="91"/>
        <v>90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f>IF(I$8="A",(RANK(AG222,AG$11:AG$333,1)+COUNTIF(AG$11:AG222,AG222)-1),(RANK(AG222,AG$11:AG$333)+COUNTIF(AG$11:AG222,AG222)-1))</f>
        <v>211</v>
      </c>
      <c r="AF222" t="str">
        <f>VLOOKUP(Profile!$J$5,Families!$C:$R,2,FALSE)</f>
        <v>Cheshire West &amp; Chester</v>
      </c>
      <c r="AG222" s="15">
        <f t="shared" si="100"/>
        <v>100</v>
      </c>
      <c r="AH222" s="46">
        <f t="shared" si="88"/>
        <v>211</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90</v>
      </c>
    </row>
    <row r="223" spans="1:50">
      <c r="A223" s="55" t="str">
        <f>$D$1&amp;213</f>
        <v>UA213</v>
      </c>
      <c r="B223" s="56">
        <f>IF(ISERROR(VLOOKUP(A223,classifications!A:C,3,FALSE)),0,VLOOKUP(A223,classifications!A:C,3,FALSE))</f>
        <v>0</v>
      </c>
      <c r="C223" t="s">
        <v>125</v>
      </c>
      <c r="D223" t="str">
        <f>VLOOKUP($C223,classifications!$C:$J,4,FALSE)</f>
        <v>SD</v>
      </c>
      <c r="E223">
        <f>VLOOKUP(C223,classifications!C:K,9,FALSE)</f>
        <v>0</v>
      </c>
      <c r="F223">
        <f t="shared" si="91"/>
        <v>100</v>
      </c>
      <c r="G223" s="15"/>
      <c r="H223" s="41" t="str">
        <f t="shared" si="92"/>
        <v/>
      </c>
      <c r="I223" s="73" t="str">
        <f>IF(H223="","",IF($I$8="A",(RANK(H223,H$11:H$333,1)+COUNTIF(H$11:H223,H223)-1),(RANK(H223,H$11:H$333)+COUNTIF(H$11:H223,H223)-1)))</f>
        <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f>IF(I$8="A",(RANK(AG223,AG$11:AG$333,1)+COUNTIF(AG$11:AG223,AG223)-1),(RANK(AG223,AG$11:AG$333)+COUNTIF(AG$11:AG223,AG223)-1))</f>
        <v>212</v>
      </c>
      <c r="AF223" t="str">
        <f>VLOOKUP(Profile!$J$5,Families!$C:$R,2,FALSE)</f>
        <v>Cheshire West &amp; Chester</v>
      </c>
      <c r="AG223" s="15">
        <f t="shared" si="100"/>
        <v>100</v>
      </c>
      <c r="AH223" s="46">
        <f t="shared" si="88"/>
        <v>212</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100</v>
      </c>
    </row>
    <row r="224" spans="1:50">
      <c r="A224" s="55" t="str">
        <f>$D$1&amp;214</f>
        <v>UA214</v>
      </c>
      <c r="B224" s="56">
        <f>IF(ISERROR(VLOOKUP(A224,classifications!A:C,3,FALSE)),0,VLOOKUP(A224,classifications!A:C,3,FALSE))</f>
        <v>0</v>
      </c>
      <c r="C224" t="s">
        <v>126</v>
      </c>
      <c r="D224" t="str">
        <f>VLOOKUP($C224,classifications!$C:$J,4,FALSE)</f>
        <v>SD</v>
      </c>
      <c r="E224">
        <f>VLOOKUP(C224,classifications!C:K,9,FALSE)</f>
        <v>0</v>
      </c>
      <c r="F224">
        <f t="shared" si="91"/>
        <v>100</v>
      </c>
      <c r="G224" s="15"/>
      <c r="H224" s="41" t="str">
        <f t="shared" si="92"/>
        <v/>
      </c>
      <c r="I224" s="73" t="str">
        <f>IF(H224="","",IF($I$8="A",(RANK(H224,H$11:H$333,1)+COUNTIF(H$11:H224,H224)-1),(RANK(H224,H$11:H$333)+COUNTIF(H$11:H224,H224)-1)))</f>
        <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f>IF(I$8="A",(RANK(AG224,AG$11:AG$333,1)+COUNTIF(AG$11:AG224,AG224)-1),(RANK(AG224,AG$11:AG$333)+COUNTIF(AG$11:AG224,AG224)-1))</f>
        <v>213</v>
      </c>
      <c r="AF224" t="str">
        <f>VLOOKUP(Profile!$J$5,Families!$C:$R,2,FALSE)</f>
        <v>Cheshire West &amp; Chester</v>
      </c>
      <c r="AG224" s="15">
        <f t="shared" si="100"/>
        <v>100</v>
      </c>
      <c r="AH224" s="46">
        <f t="shared" si="88"/>
        <v>213</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100</v>
      </c>
    </row>
    <row r="225" spans="1:50">
      <c r="A225" s="55" t="str">
        <f>$D$1&amp;215</f>
        <v>UA215</v>
      </c>
      <c r="B225" s="56">
        <f>IF(ISERROR(VLOOKUP(A225,classifications!A:C,3,FALSE)),0,VLOOKUP(A225,classifications!A:C,3,FALSE))</f>
        <v>0</v>
      </c>
      <c r="C225" t="s">
        <v>127</v>
      </c>
      <c r="D225" t="str">
        <f>VLOOKUP($C225,classifications!$C:$J,4,FALSE)</f>
        <v>SD</v>
      </c>
      <c r="E225" t="str">
        <f>VLOOKUP(C225,classifications!C:K,9,FALSE)</f>
        <v>Sparse</v>
      </c>
      <c r="F225">
        <f t="shared" si="91"/>
        <v>81.818181818181827</v>
      </c>
      <c r="G225" s="15"/>
      <c r="H225" s="41" t="str">
        <f t="shared" si="92"/>
        <v/>
      </c>
      <c r="I225" s="73" t="str">
        <f>IF(H225="","",IF($I$8="A",(RANK(H225,H$11:H$333,1)+COUNTIF(H$11:H225,H225)-1),(RANK(H225,H$11:H$333)+COUNTIF(H$11:H225,H225)-1)))</f>
        <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f>IF(I$8="A",(RANK(AG225,AG$11:AG$333,1)+COUNTIF(AG$11:AG225,AG225)-1),(RANK(AG225,AG$11:AG$333)+COUNTIF(AG$11:AG225,AG225)-1))</f>
        <v>214</v>
      </c>
      <c r="AF225" t="str">
        <f>VLOOKUP(Profile!$J$5,Families!$C:$R,2,FALSE)</f>
        <v>Cheshire West &amp; Chester</v>
      </c>
      <c r="AG225" s="15">
        <f t="shared" si="100"/>
        <v>100</v>
      </c>
      <c r="AH225" s="46">
        <f t="shared" si="88"/>
        <v>214</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81.818181818181827</v>
      </c>
    </row>
    <row r="226" spans="1:50">
      <c r="A226" s="55" t="str">
        <f>$D$1&amp;216</f>
        <v>UA216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f>IF(I$8="A",(RANK(AG226,AG$11:AG$333,1)+COUNTIF(AG$11:AG226,AG226)-1),(RANK(AG226,AG$11:AG$333)+COUNTIF(AG$11:AG226,AG226)-1))</f>
        <v>215</v>
      </c>
      <c r="AF226" t="str">
        <f>VLOOKUP(Profile!$J$5,Families!$C:$R,2,FALSE)</f>
        <v>Cheshire West &amp; Chester</v>
      </c>
      <c r="AG226" s="15">
        <f t="shared" si="100"/>
        <v>100</v>
      </c>
      <c r="AH226" s="46">
        <f t="shared" si="88"/>
        <v>215</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UA217</v>
      </c>
      <c r="B227" s="56">
        <f>IF(ISERROR(VLOOKUP(A227,classifications!A:C,3,FALSE)),0,VLOOKUP(A227,classifications!A:C,3,FALSE))</f>
        <v>0</v>
      </c>
      <c r="C227" t="s">
        <v>128</v>
      </c>
      <c r="D227" t="str">
        <f>VLOOKUP($C227,classifications!$C:$J,4,FALSE)</f>
        <v>SD</v>
      </c>
      <c r="E227" t="str">
        <f>VLOOKUP(C227,classifications!C:K,9,FALSE)</f>
        <v>Sparse</v>
      </c>
      <c r="F227">
        <f t="shared" si="91"/>
        <v>66.666666666666657</v>
      </c>
      <c r="G227" s="15"/>
      <c r="H227" s="41" t="str">
        <f t="shared" si="92"/>
        <v/>
      </c>
      <c r="I227" s="73" t="str">
        <f>IF(H227="","",IF($I$8="A",(RANK(H227,H$11:H$333,1)+COUNTIF(H$11:H227,H227)-1),(RANK(H227,H$11:H$333)+COUNTIF(H$11:H227,H227)-1)))</f>
        <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f>IF(I$8="A",(RANK(AG227,AG$11:AG$333,1)+COUNTIF(AG$11:AG227,AG227)-1),(RANK(AG227,AG$11:AG$333)+COUNTIF(AG$11:AG227,AG227)-1))</f>
        <v>216</v>
      </c>
      <c r="AF227" t="str">
        <f>VLOOKUP(Profile!$J$5,Families!$C:$R,2,FALSE)</f>
        <v>Cheshire West &amp; Chester</v>
      </c>
      <c r="AG227" s="15">
        <f t="shared" si="100"/>
        <v>100</v>
      </c>
      <c r="AH227" s="46">
        <f t="shared" si="88"/>
        <v>216</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66.666666666666657</v>
      </c>
    </row>
    <row r="228" spans="1:50">
      <c r="A228" s="55" t="str">
        <f>$D$1&amp;218</f>
        <v>UA218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t="str">
        <f t="shared" si="92"/>
        <v/>
      </c>
      <c r="I228" s="73" t="str">
        <f>IF(H228="","",IF($I$8="A",(RANK(H228,H$11:H$333,1)+COUNTIF(H$11:H228,H228)-1),(RANK(H228,H$11:H$333)+COUNTIF(H$11:H228,H228)-1)))</f>
        <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f>IF(I$8="A",(RANK(AG228,AG$11:AG$333,1)+COUNTIF(AG$11:AG228,AG228)-1),(RANK(AG228,AG$11:AG$333)+COUNTIF(AG$11:AG228,AG228)-1))</f>
        <v>217</v>
      </c>
      <c r="AF228" t="str">
        <f>VLOOKUP(Profile!$J$5,Families!$C:$R,2,FALSE)</f>
        <v>Cheshire West &amp; Chester</v>
      </c>
      <c r="AG228" s="15">
        <f t="shared" si="100"/>
        <v>100</v>
      </c>
      <c r="AH228" s="46">
        <f t="shared" si="88"/>
        <v>217</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UA219</v>
      </c>
      <c r="B229" s="56">
        <f>IF(ISERROR(VLOOKUP(A229,classifications!A:C,3,FALSE)),0,VLOOKUP(A229,classifications!A:C,3,FALSE))</f>
        <v>0</v>
      </c>
      <c r="C229" t="s">
        <v>130</v>
      </c>
      <c r="D229" t="str">
        <f>VLOOKUP($C229,classifications!$C:$J,4,FALSE)</f>
        <v>SD</v>
      </c>
      <c r="E229">
        <f>VLOOKUP(C229,classifications!C:K,9,FALSE)</f>
        <v>0</v>
      </c>
      <c r="F229">
        <f t="shared" si="91"/>
        <v>100</v>
      </c>
      <c r="G229" s="15"/>
      <c r="H229" s="41" t="str">
        <f t="shared" si="92"/>
        <v/>
      </c>
      <c r="I229" s="73" t="str">
        <f>IF(H229="","",IF($I$8="A",(RANK(H229,H$11:H$333,1)+COUNTIF(H$11:H229,H229)-1),(RANK(H229,H$11:H$333)+COUNTIF(H$11:H229,H229)-1)))</f>
        <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f>IF(I$8="A",(RANK(AG229,AG$11:AG$333,1)+COUNTIF(AG$11:AG229,AG229)-1),(RANK(AG229,AG$11:AG$333)+COUNTIF(AG$11:AG229,AG229)-1))</f>
        <v>218</v>
      </c>
      <c r="AF229" t="str">
        <f>VLOOKUP(Profile!$J$5,Families!$C:$R,2,FALSE)</f>
        <v>Cheshire West &amp; Chester</v>
      </c>
      <c r="AG229" s="15">
        <f t="shared" si="100"/>
        <v>100</v>
      </c>
      <c r="AH229" s="46">
        <f t="shared" si="88"/>
        <v>218</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100</v>
      </c>
    </row>
    <row r="230" spans="1:50">
      <c r="A230" s="55" t="str">
        <f>$D$1&amp;220</f>
        <v>UA220</v>
      </c>
      <c r="B230" s="56">
        <f>IF(ISERROR(VLOOKUP(A230,classifications!A:C,3,FALSE)),0,VLOOKUP(A230,classifications!A:C,3,FALSE))</f>
        <v>0</v>
      </c>
      <c r="C230" t="s">
        <v>131</v>
      </c>
      <c r="D230" t="str">
        <f>VLOOKUP($C230,classifications!$C:$J,4,FALSE)</f>
        <v>SD</v>
      </c>
      <c r="E230">
        <f>VLOOKUP(C230,classifications!C:K,9,FALSE)</f>
        <v>0</v>
      </c>
      <c r="F230">
        <f t="shared" si="91"/>
        <v>100</v>
      </c>
      <c r="G230" s="15"/>
      <c r="H230" s="41" t="str">
        <f t="shared" si="92"/>
        <v/>
      </c>
      <c r="I230" s="73" t="str">
        <f>IF(H230="","",IF($I$8="A",(RANK(H230,H$11:H$333,1)+COUNTIF(H$11:H230,H230)-1),(RANK(H230,H$11:H$333)+COUNTIF(H$11:H230,H230)-1)))</f>
        <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f>IF(I$8="A",(RANK(AG230,AG$11:AG$333,1)+COUNTIF(AG$11:AG230,AG230)-1),(RANK(AG230,AG$11:AG$333)+COUNTIF(AG$11:AG230,AG230)-1))</f>
        <v>219</v>
      </c>
      <c r="AF230" t="str">
        <f>VLOOKUP(Profile!$J$5,Families!$C:$R,2,FALSE)</f>
        <v>Cheshire West &amp; Chester</v>
      </c>
      <c r="AG230" s="15">
        <f t="shared" si="100"/>
        <v>100</v>
      </c>
      <c r="AH230" s="46">
        <f t="shared" si="88"/>
        <v>219</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100</v>
      </c>
    </row>
    <row r="231" spans="1:50">
      <c r="A231" s="55" t="str">
        <f>$D$1&amp;221</f>
        <v>UA221</v>
      </c>
      <c r="B231" s="56">
        <f>IF(ISERROR(VLOOKUP(A231,classifications!A:C,3,FALSE)),0,VLOOKUP(A231,classifications!A:C,3,FALSE))</f>
        <v>0</v>
      </c>
      <c r="C231" t="s">
        <v>285</v>
      </c>
      <c r="D231" t="str">
        <f>VLOOKUP($C231,classifications!$C:$J,4,FALSE)</f>
        <v>UA</v>
      </c>
      <c r="E231" t="str">
        <f>VLOOKUP(C231,classifications!C:K,9,FALSE)</f>
        <v>Sparse</v>
      </c>
      <c r="F231">
        <f t="shared" si="91"/>
        <v>60</v>
      </c>
      <c r="G231" s="15"/>
      <c r="H231" s="41">
        <f t="shared" si="92"/>
        <v>60</v>
      </c>
      <c r="I231" s="73">
        <f>IF(H231="","",IF($I$8="A",(RANK(H231,H$11:H$333,1)+COUNTIF(H$11:H231,H231)-1),(RANK(H231,H$11:H$333)+COUNTIF(H$11:H231,H231)-1)))</f>
        <v>62</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f>IF(I$8="A",(RANK(AG231,AG$11:AG$333,1)+COUNTIF(AG$11:AG231,AG231)-1),(RANK(AG231,AG$11:AG$333)+COUNTIF(AG$11:AG231,AG231)-1))</f>
        <v>220</v>
      </c>
      <c r="AF231" t="str">
        <f>VLOOKUP(Profile!$J$5,Families!$C:$R,2,FALSE)</f>
        <v>Cheshire West &amp; Chester</v>
      </c>
      <c r="AG231" s="15">
        <f t="shared" si="100"/>
        <v>100</v>
      </c>
      <c r="AH231" s="46">
        <f t="shared" si="88"/>
        <v>220</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60</v>
      </c>
    </row>
    <row r="232" spans="1:50">
      <c r="A232" s="55" t="str">
        <f>$D$1&amp;222</f>
        <v>UA222</v>
      </c>
      <c r="B232" s="56">
        <f>IF(ISERROR(VLOOKUP(A232,classifications!A:C,3,FALSE)),0,VLOOKUP(A232,classifications!A:C,3,FALSE))</f>
        <v>0</v>
      </c>
      <c r="C232" t="s">
        <v>242</v>
      </c>
      <c r="D232" t="str">
        <f>VLOOKUP($C232,classifications!$C:$J,4,FALSE)</f>
        <v>MD</v>
      </c>
      <c r="E232">
        <f>VLOOKUP(C232,classifications!C:K,9,FALSE)</f>
        <v>0</v>
      </c>
      <c r="F232">
        <f t="shared" si="91"/>
        <v>77.777777777777786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f>IF(I$8="A",(RANK(AG232,AG$11:AG$333,1)+COUNTIF(AG$11:AG232,AG232)-1),(RANK(AG232,AG$11:AG$333)+COUNTIF(AG$11:AG232,AG232)-1))</f>
        <v>221</v>
      </c>
      <c r="AF232" t="str">
        <f>VLOOKUP(Profile!$J$5,Families!$C:$R,2,FALSE)</f>
        <v>Cheshire West &amp; Chester</v>
      </c>
      <c r="AG232" s="15">
        <f t="shared" si="100"/>
        <v>100</v>
      </c>
      <c r="AH232" s="46">
        <f t="shared" si="88"/>
        <v>221</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77.777777777777786</v>
      </c>
    </row>
    <row r="233" spans="1:50">
      <c r="A233" s="55" t="str">
        <f>$D$1&amp;223</f>
        <v>UA223</v>
      </c>
      <c r="B233" s="56">
        <f>IF(ISERROR(VLOOKUP(A233,classifications!A:C,3,FALSE)),0,VLOOKUP(A233,classifications!A:C,3,FALSE))</f>
        <v>0</v>
      </c>
      <c r="C233" t="s">
        <v>243</v>
      </c>
      <c r="D233" t="str">
        <f>VLOOKUP($C233,classifications!$C:$J,4,FALSE)</f>
        <v>MD</v>
      </c>
      <c r="E233">
        <f>VLOOKUP(C233,classifications!C:K,9,FALSE)</f>
        <v>0</v>
      </c>
      <c r="F233">
        <f t="shared" si="91"/>
        <v>83.333333333333343</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f>IF(I$8="A",(RANK(AG233,AG$11:AG$333,1)+COUNTIF(AG$11:AG233,AG233)-1),(RANK(AG233,AG$11:AG$333)+COUNTIF(AG$11:AG233,AG233)-1))</f>
        <v>222</v>
      </c>
      <c r="AF233" t="str">
        <f>VLOOKUP(Profile!$J$5,Families!$C:$R,2,FALSE)</f>
        <v>Cheshire West &amp; Chester</v>
      </c>
      <c r="AG233" s="15">
        <f t="shared" si="100"/>
        <v>100</v>
      </c>
      <c r="AH233" s="46">
        <f t="shared" si="88"/>
        <v>222</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83.333333333333343</v>
      </c>
    </row>
    <row r="234" spans="1:50">
      <c r="A234" s="55" t="str">
        <f>$D$1&amp;224</f>
        <v>UA224</v>
      </c>
      <c r="B234" s="56">
        <f>IF(ISERROR(VLOOKUP(A234,classifications!A:C,3,FALSE)),0,VLOOKUP(A234,classifications!A:C,3,FALSE))</f>
        <v>0</v>
      </c>
      <c r="C234" t="s">
        <v>244</v>
      </c>
      <c r="D234" t="str">
        <f>VLOOKUP($C234,classifications!$C:$J,4,FALSE)</f>
        <v>MD</v>
      </c>
      <c r="E234">
        <f>VLOOKUP(C234,classifications!C:K,9,FALSE)</f>
        <v>0</v>
      </c>
      <c r="F234">
        <f t="shared" si="91"/>
        <v>100</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f>IF(I$8="A",(RANK(AG234,AG$11:AG$333,1)+COUNTIF(AG$11:AG234,AG234)-1),(RANK(AG234,AG$11:AG$333)+COUNTIF(AG$11:AG234,AG234)-1))</f>
        <v>223</v>
      </c>
      <c r="AF234" t="str">
        <f>VLOOKUP(Profile!$J$5,Families!$C:$R,2,FALSE)</f>
        <v>Cheshire West &amp; Chester</v>
      </c>
      <c r="AG234" s="15">
        <f t="shared" si="100"/>
        <v>100</v>
      </c>
      <c r="AH234" s="46">
        <f t="shared" si="88"/>
        <v>223</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100</v>
      </c>
    </row>
    <row r="235" spans="1:50">
      <c r="A235" s="55" t="str">
        <f>$D$1&amp;225</f>
        <v>UA225</v>
      </c>
      <c r="B235" s="56">
        <f>IF(ISERROR(VLOOKUP(A235,classifications!A:C,3,FALSE)),0,VLOOKUP(A235,classifications!A:C,3,FALSE))</f>
        <v>0</v>
      </c>
      <c r="C235" t="s">
        <v>136</v>
      </c>
      <c r="D235" t="str">
        <f>VLOOKUP($C235,classifications!$C:$J,4,FALSE)</f>
        <v>SD</v>
      </c>
      <c r="E235">
        <f>VLOOKUP(C235,classifications!C:K,9,FALSE)</f>
        <v>0</v>
      </c>
      <c r="F235">
        <f t="shared" si="91"/>
        <v>100</v>
      </c>
      <c r="G235" s="15"/>
      <c r="H235" s="41" t="str">
        <f t="shared" si="92"/>
        <v/>
      </c>
      <c r="I235" s="73" t="str">
        <f>IF(H235="","",IF($I$8="A",(RANK(H235,H$11:H$333,1)+COUNTIF(H$11:H235,H235)-1),(RANK(H235,H$11:H$333)+COUNTIF(H$11:H235,H235)-1)))</f>
        <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f>IF(I$8="A",(RANK(AG235,AG$11:AG$333,1)+COUNTIF(AG$11:AG235,AG235)-1),(RANK(AG235,AG$11:AG$333)+COUNTIF(AG$11:AG235,AG235)-1))</f>
        <v>224</v>
      </c>
      <c r="AF235" t="str">
        <f>VLOOKUP(Profile!$J$5,Families!$C:$R,2,FALSE)</f>
        <v>Cheshire West &amp; Chester</v>
      </c>
      <c r="AG235" s="15">
        <f t="shared" si="100"/>
        <v>100</v>
      </c>
      <c r="AH235" s="46">
        <f t="shared" si="88"/>
        <v>224</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100</v>
      </c>
    </row>
    <row r="236" spans="1:50">
      <c r="A236" s="55" t="str">
        <f>$D$1&amp;226</f>
        <v>UA226</v>
      </c>
      <c r="B236" s="56">
        <f>IF(ISERROR(VLOOKUP(A236,classifications!A:C,3,FALSE)),0,VLOOKUP(A236,classifications!A:C,3,FALSE))</f>
        <v>0</v>
      </c>
      <c r="C236" t="s">
        <v>245</v>
      </c>
      <c r="D236" t="str">
        <f>VLOOKUP($C236,classifications!$C:$J,4,FALSE)</f>
        <v>MD</v>
      </c>
      <c r="E236">
        <f>VLOOKUP(C236,classifications!C:K,9,FALSE)</f>
        <v>0</v>
      </c>
      <c r="F236">
        <f t="shared" si="91"/>
        <v>90</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f>IF(I$8="A",(RANK(AG236,AG$11:AG$333,1)+COUNTIF(AG$11:AG236,AG236)-1),(RANK(AG236,AG$11:AG$333)+COUNTIF(AG$11:AG236,AG236)-1))</f>
        <v>225</v>
      </c>
      <c r="AF236" t="str">
        <f>VLOOKUP(Profile!$J$5,Families!$C:$R,2,FALSE)</f>
        <v>Cheshire West &amp; Chester</v>
      </c>
      <c r="AG236" s="15">
        <f t="shared" si="100"/>
        <v>100</v>
      </c>
      <c r="AH236" s="46">
        <f t="shared" si="88"/>
        <v>225</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90</v>
      </c>
    </row>
    <row r="237" spans="1:50">
      <c r="A237" s="55" t="str">
        <f>$D$1&amp;227</f>
        <v>UA227</v>
      </c>
      <c r="B237" s="56">
        <f>IF(ISERROR(VLOOKUP(A237,classifications!A:C,3,FALSE)),0,VLOOKUP(A237,classifications!A:C,3,FALSE))</f>
        <v>0</v>
      </c>
      <c r="C237" t="s">
        <v>325</v>
      </c>
      <c r="D237" t="str">
        <f>VLOOKUP($C237,classifications!$C:$J,4,FALSE)</f>
        <v>UA</v>
      </c>
      <c r="E237" t="str">
        <f>VLOOKUP(C237,classifications!C:K,9,FALSE)</f>
        <v>Sparse</v>
      </c>
      <c r="F237">
        <f t="shared" si="91"/>
        <v>68.965517241379317</v>
      </c>
      <c r="G237" s="15"/>
      <c r="H237" s="41">
        <f t="shared" si="92"/>
        <v>68.965517241379317</v>
      </c>
      <c r="I237" s="73">
        <f>IF(H237="","",IF($I$8="A",(RANK(H237,H$11:H$333,1)+COUNTIF(H$11:H237,H237)-1),(RANK(H237,H$11:H$333)+COUNTIF(H$11:H237,H237)-1)))</f>
        <v>58</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f>IF(I$8="A",(RANK(AG237,AG$11:AG$333,1)+COUNTIF(AG$11:AG237,AG237)-1),(RANK(AG237,AG$11:AG$333)+COUNTIF(AG$11:AG237,AG237)-1))</f>
        <v>226</v>
      </c>
      <c r="AF237" t="str">
        <f>VLOOKUP(Profile!$J$5,Families!$C:$R,2,FALSE)</f>
        <v>Cheshire West &amp; Chester</v>
      </c>
      <c r="AG237" s="15">
        <f t="shared" si="100"/>
        <v>100</v>
      </c>
      <c r="AH237" s="46">
        <f t="shared" si="88"/>
        <v>226</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68.965517241379317</v>
      </c>
    </row>
    <row r="238" spans="1:50">
      <c r="A238" s="55" t="str">
        <f>$D$1&amp;228</f>
        <v>UA228</v>
      </c>
      <c r="B238" s="56">
        <f>IF(ISERROR(VLOOKUP(A238,classifications!A:C,3,FALSE)),0,VLOOKUP(A238,classifications!A:C,3,FALSE))</f>
        <v>0</v>
      </c>
      <c r="C238" t="s">
        <v>286</v>
      </c>
      <c r="D238" t="str">
        <f>VLOOKUP($C238,classifications!$C:$J,4,FALSE)</f>
        <v>UA</v>
      </c>
      <c r="E238">
        <f>VLOOKUP(C238,classifications!C:K,9,FALSE)</f>
        <v>0</v>
      </c>
      <c r="F238">
        <f t="shared" si="91"/>
        <v>83.333333333333343</v>
      </c>
      <c r="G238" s="15"/>
      <c r="H238" s="41">
        <f t="shared" si="92"/>
        <v>83.333333333333343</v>
      </c>
      <c r="I238" s="73">
        <f>IF(H238="","",IF($I$8="A",(RANK(H238,H$11:H$333,1)+COUNTIF(H$11:H238,H238)-1),(RANK(H238,H$11:H$333)+COUNTIF(H$11:H238,H238)-1)))</f>
        <v>49</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f>IF(I$8="A",(RANK(AG238,AG$11:AG$333,1)+COUNTIF(AG$11:AG238,AG238)-1),(RANK(AG238,AG$11:AG$333)+COUNTIF(AG$11:AG238,AG238)-1))</f>
        <v>227</v>
      </c>
      <c r="AF238" t="str">
        <f>VLOOKUP(Profile!$J$5,Families!$C:$R,2,FALSE)</f>
        <v>Cheshire West &amp; Chester</v>
      </c>
      <c r="AG238" s="15">
        <f t="shared" si="100"/>
        <v>100</v>
      </c>
      <c r="AH238" s="46">
        <f t="shared" si="88"/>
        <v>227</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83.333333333333343</v>
      </c>
    </row>
    <row r="239" spans="1:50">
      <c r="A239" s="55" t="str">
        <f>$D$1&amp;229</f>
        <v>UA229</v>
      </c>
      <c r="B239" s="56">
        <f>IF(ISERROR(VLOOKUP(A239,classifications!A:C,3,FALSE)),0,VLOOKUP(A239,classifications!A:C,3,FALSE))</f>
        <v>0</v>
      </c>
      <c r="C239" t="s">
        <v>246</v>
      </c>
      <c r="D239" t="str">
        <f>VLOOKUP($C239,classifications!$C:$J,4,FALSE)</f>
        <v>MD</v>
      </c>
      <c r="E239">
        <f>VLOOKUP(C239,classifications!C:K,9,FALSE)</f>
        <v>0</v>
      </c>
      <c r="F239">
        <f t="shared" si="91"/>
        <v>80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f>IF(I$8="A",(RANK(AG239,AG$11:AG$333,1)+COUNTIF(AG$11:AG239,AG239)-1),(RANK(AG239,AG$11:AG$333)+COUNTIF(AG$11:AG239,AG239)-1))</f>
        <v>228</v>
      </c>
      <c r="AF239" t="str">
        <f>VLOOKUP(Profile!$J$5,Families!$C:$R,2,FALSE)</f>
        <v>Cheshire West &amp; Chester</v>
      </c>
      <c r="AG239" s="15">
        <f t="shared" si="100"/>
        <v>100</v>
      </c>
      <c r="AH239" s="46">
        <f t="shared" si="88"/>
        <v>228</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80</v>
      </c>
    </row>
    <row r="240" spans="1:50">
      <c r="A240" s="55" t="str">
        <f>$D$1&amp;230</f>
        <v>UA230</v>
      </c>
      <c r="B240" s="56">
        <f>IF(ISERROR(VLOOKUP(A240,classifications!A:C,3,FALSE)),0,VLOOKUP(A240,classifications!A:C,3,FALSE))</f>
        <v>0</v>
      </c>
      <c r="C240" t="s">
        <v>326</v>
      </c>
      <c r="D240" t="str">
        <f>VLOOKUP($C240,classifications!$C:$J,4,FALSE)</f>
        <v>UA</v>
      </c>
      <c r="E240">
        <f>VLOOKUP(C240,classifications!C:K,9,FALSE)</f>
        <v>0</v>
      </c>
      <c r="F240">
        <f t="shared" si="91"/>
        <v>88.888888888888886</v>
      </c>
      <c r="G240" s="15"/>
      <c r="H240" s="41">
        <f t="shared" si="92"/>
        <v>88.888888888888886</v>
      </c>
      <c r="I240" s="73">
        <f>IF(H240="","",IF($I$8="A",(RANK(H240,H$11:H$333,1)+COUNTIF(H$11:H240,H240)-1),(RANK(H240,H$11:H$333)+COUNTIF(H$11:H240,H240)-1)))</f>
        <v>39</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f>IF(I$8="A",(RANK(AG240,AG$11:AG$333,1)+COUNTIF(AG$11:AG240,AG240)-1),(RANK(AG240,AG$11:AG$333)+COUNTIF(AG$11:AG240,AG240)-1))</f>
        <v>229</v>
      </c>
      <c r="AF240" t="str">
        <f>VLOOKUP(Profile!$J$5,Families!$C:$R,2,FALSE)</f>
        <v>Cheshire West &amp; Chester</v>
      </c>
      <c r="AG240" s="15">
        <f t="shared" si="100"/>
        <v>100</v>
      </c>
      <c r="AH240" s="46">
        <f t="shared" si="88"/>
        <v>229</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88.888888888888886</v>
      </c>
    </row>
    <row r="241" spans="1:50">
      <c r="A241" s="55" t="str">
        <f>$D$1&amp;231</f>
        <v>UA231</v>
      </c>
      <c r="B241" s="56">
        <f>IF(ISERROR(VLOOKUP(A241,classifications!A:C,3,FALSE)),0,VLOOKUP(A241,classifications!A:C,3,FALSE))</f>
        <v>0</v>
      </c>
      <c r="C241" t="s">
        <v>138</v>
      </c>
      <c r="D241" t="str">
        <f>VLOOKUP($C241,classifications!$C:$J,4,FALSE)</f>
        <v>SD</v>
      </c>
      <c r="E241" t="str">
        <f>VLOOKUP(C241,classifications!C:K,9,FALSE)</f>
        <v>Sparse</v>
      </c>
      <c r="F241">
        <f t="shared" si="91"/>
        <v>90</v>
      </c>
      <c r="G241" s="15"/>
      <c r="H241" s="41" t="str">
        <f t="shared" si="92"/>
        <v/>
      </c>
      <c r="I241" s="73" t="str">
        <f>IF(H241="","",IF($I$8="A",(RANK(H241,H$11:H$333,1)+COUNTIF(H$11:H241,H241)-1),(RANK(H241,H$11:H$333)+COUNTIF(H$11:H241,H241)-1)))</f>
        <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f>IF(I$8="A",(RANK(AG241,AG$11:AG$333,1)+COUNTIF(AG$11:AG241,AG241)-1),(RANK(AG241,AG$11:AG$333)+COUNTIF(AG$11:AG241,AG241)-1))</f>
        <v>230</v>
      </c>
      <c r="AF241" t="str">
        <f>VLOOKUP(Profile!$J$5,Families!$C:$R,2,FALSE)</f>
        <v>Cheshire West &amp; Chester</v>
      </c>
      <c r="AG241" s="15">
        <f t="shared" si="100"/>
        <v>100</v>
      </c>
      <c r="AH241" s="46">
        <f t="shared" si="88"/>
        <v>230</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90</v>
      </c>
    </row>
    <row r="242" spans="1:50">
      <c r="A242" s="55" t="str">
        <f>$D$1&amp;232</f>
        <v>UA232</v>
      </c>
      <c r="B242" s="56">
        <f>IF(ISERROR(VLOOKUP(A242,classifications!A:C,3,FALSE)),0,VLOOKUP(A242,classifications!A:C,3,FALSE))</f>
        <v>0</v>
      </c>
      <c r="C242" t="s">
        <v>139</v>
      </c>
      <c r="D242" t="str">
        <f>VLOOKUP($C242,classifications!$C:$J,4,FALSE)</f>
        <v>SD</v>
      </c>
      <c r="E242">
        <f>VLOOKUP(C242,classifications!C:K,9,FALSE)</f>
        <v>0</v>
      </c>
      <c r="F242">
        <f t="shared" si="91"/>
        <v>60</v>
      </c>
      <c r="G242" s="15"/>
      <c r="H242" s="41" t="str">
        <f t="shared" si="92"/>
        <v/>
      </c>
      <c r="I242" s="73" t="str">
        <f>IF(H242="","",IF($I$8="A",(RANK(H242,H$11:H$333,1)+COUNTIF(H$11:H242,H242)-1),(RANK(H242,H$11:H$333)+COUNTIF(H$11:H242,H242)-1)))</f>
        <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f>IF(I$8="A",(RANK(AG242,AG$11:AG$333,1)+COUNTIF(AG$11:AG242,AG242)-1),(RANK(AG242,AG$11:AG$333)+COUNTIF(AG$11:AG242,AG242)-1))</f>
        <v>231</v>
      </c>
      <c r="AF242" t="str">
        <f>VLOOKUP(Profile!$J$5,Families!$C:$R,2,FALSE)</f>
        <v>Cheshire West &amp; Chester</v>
      </c>
      <c r="AG242" s="15">
        <f t="shared" si="100"/>
        <v>100</v>
      </c>
      <c r="AH242" s="46">
        <f t="shared" si="88"/>
        <v>231</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60</v>
      </c>
    </row>
    <row r="243" spans="1:50">
      <c r="A243" s="55" t="str">
        <f>$D$1&amp;233</f>
        <v>UA233</v>
      </c>
      <c r="B243" s="56">
        <f>IF(ISERROR(VLOOKUP(A243,classifications!A:C,3,FALSE)),0,VLOOKUP(A243,classifications!A:C,3,FALSE))</f>
        <v>0</v>
      </c>
      <c r="C243" t="s">
        <v>287</v>
      </c>
      <c r="D243" t="str">
        <f>VLOOKUP($C243,classifications!$C:$J,4,FALSE)</f>
        <v>UA</v>
      </c>
      <c r="E243">
        <f>VLOOKUP(C243,classifications!C:K,9,FALSE)</f>
        <v>0</v>
      </c>
      <c r="F243">
        <f t="shared" si="91"/>
        <v>91.666666666666657</v>
      </c>
      <c r="G243" s="15"/>
      <c r="H243" s="41">
        <f t="shared" si="92"/>
        <v>91.666666666666657</v>
      </c>
      <c r="I243" s="73">
        <f>IF(H243="","",IF($I$8="A",(RANK(H243,H$11:H$333,1)+COUNTIF(H$11:H243,H243)-1),(RANK(H243,H$11:H$333)+COUNTIF(H$11:H243,H243)-1)))</f>
        <v>30</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f>IF(I$8="A",(RANK(AG243,AG$11:AG$333,1)+COUNTIF(AG$11:AG243,AG243)-1),(RANK(AG243,AG$11:AG$333)+COUNTIF(AG$11:AG243,AG243)-1))</f>
        <v>232</v>
      </c>
      <c r="AF243" t="str">
        <f>VLOOKUP(Profile!$J$5,Families!$C:$R,2,FALSE)</f>
        <v>Cheshire West &amp; Chester</v>
      </c>
      <c r="AG243" s="15">
        <f t="shared" si="100"/>
        <v>100</v>
      </c>
      <c r="AH243" s="46">
        <f t="shared" si="88"/>
        <v>232</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91.666666666666657</v>
      </c>
    </row>
    <row r="244" spans="1:50">
      <c r="A244" s="55" t="str">
        <f>$D$1&amp;234</f>
        <v>UA234</v>
      </c>
      <c r="B244" s="56">
        <f>IF(ISERROR(VLOOKUP(A244,classifications!A:C,3,FALSE)),0,VLOOKUP(A244,classifications!A:C,3,FALSE))</f>
        <v>0</v>
      </c>
      <c r="C244" t="s">
        <v>140</v>
      </c>
      <c r="D244" t="str">
        <f>VLOOKUP($C244,classifications!$C:$J,4,FALSE)</f>
        <v>SD</v>
      </c>
      <c r="E244" t="str">
        <f>VLOOKUP(C244,classifications!C:K,9,FALSE)</f>
        <v>Sparse</v>
      </c>
      <c r="F244">
        <f t="shared" si="91"/>
        <v>100</v>
      </c>
      <c r="G244" s="15"/>
      <c r="H244" s="41" t="str">
        <f t="shared" si="92"/>
        <v/>
      </c>
      <c r="I244" s="73" t="str">
        <f>IF(H244="","",IF($I$8="A",(RANK(H244,H$11:H$333,1)+COUNTIF(H$11:H244,H244)-1),(RANK(H244,H$11:H$333)+COUNTIF(H$11:H244,H244)-1)))</f>
        <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f>IF(I$8="A",(RANK(AG244,AG$11:AG$333,1)+COUNTIF(AG$11:AG244,AG244)-1),(RANK(AG244,AG$11:AG$333)+COUNTIF(AG$11:AG244,AG244)-1))</f>
        <v>233</v>
      </c>
      <c r="AF244" t="str">
        <f>VLOOKUP(Profile!$J$5,Families!$C:$R,2,FALSE)</f>
        <v>Cheshire West &amp; Chester</v>
      </c>
      <c r="AG244" s="15">
        <f t="shared" si="100"/>
        <v>100</v>
      </c>
      <c r="AH244" s="46">
        <f t="shared" si="88"/>
        <v>233</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100</v>
      </c>
    </row>
    <row r="245" spans="1:50">
      <c r="A245" s="55" t="str">
        <f>$D$1&amp;235</f>
        <v>UA235</v>
      </c>
      <c r="B245" s="56">
        <f>IF(ISERROR(VLOOKUP(A245,classifications!A:C,3,FALSE)),0,VLOOKUP(A245,classifications!A:C,3,FALSE))</f>
        <v>0</v>
      </c>
      <c r="C245" t="s">
        <v>141</v>
      </c>
      <c r="D245" t="str">
        <f>VLOOKUP($C245,classifications!$C:$J,4,FALSE)</f>
        <v>SD</v>
      </c>
      <c r="E245" t="str">
        <f>VLOOKUP(C245,classifications!C:K,9,FALSE)</f>
        <v>Sparse</v>
      </c>
      <c r="F245">
        <f t="shared" si="91"/>
        <v>93.75</v>
      </c>
      <c r="G245" s="15"/>
      <c r="H245" s="41" t="str">
        <f t="shared" si="92"/>
        <v/>
      </c>
      <c r="I245" s="73" t="str">
        <f>IF(H245="","",IF($I$8="A",(RANK(H245,H$11:H$333,1)+COUNTIF(H$11:H245,H245)-1),(RANK(H245,H$11:H$333)+COUNTIF(H$11:H245,H245)-1)))</f>
        <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f>IF(I$8="A",(RANK(AG245,AG$11:AG$333,1)+COUNTIF(AG$11:AG245,AG245)-1),(RANK(AG245,AG$11:AG$333)+COUNTIF(AG$11:AG245,AG245)-1))</f>
        <v>234</v>
      </c>
      <c r="AF245" t="str">
        <f>VLOOKUP(Profile!$J$5,Families!$C:$R,2,FALSE)</f>
        <v>Cheshire West &amp; Chester</v>
      </c>
      <c r="AG245" s="15">
        <f t="shared" si="100"/>
        <v>100</v>
      </c>
      <c r="AH245" s="46">
        <f t="shared" si="88"/>
        <v>234</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93.75</v>
      </c>
    </row>
    <row r="246" spans="1:50">
      <c r="A246" s="55" t="str">
        <f>$D$1&amp;236</f>
        <v>UA236</v>
      </c>
      <c r="B246" s="56">
        <f>IF(ISERROR(VLOOKUP(A246,classifications!A:C,3,FALSE)),0,VLOOKUP(A246,classifications!A:C,3,FALSE))</f>
        <v>0</v>
      </c>
      <c r="C246" t="s">
        <v>142</v>
      </c>
      <c r="D246" t="str">
        <f>VLOOKUP($C246,classifications!$C:$J,4,FALSE)</f>
        <v>SD</v>
      </c>
      <c r="E246" t="str">
        <f>VLOOKUP(C246,classifications!C:K,9,FALSE)</f>
        <v>Sparse</v>
      </c>
      <c r="F246">
        <f t="shared" si="91"/>
        <v>90.909090909090907</v>
      </c>
      <c r="G246" s="15"/>
      <c r="H246" s="41" t="str">
        <f t="shared" si="92"/>
        <v/>
      </c>
      <c r="I246" s="73" t="str">
        <f>IF(H246="","",IF($I$8="A",(RANK(H246,H$11:H$333,1)+COUNTIF(H$11:H246,H246)-1),(RANK(H246,H$11:H$333)+COUNTIF(H$11:H246,H246)-1)))</f>
        <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f>IF(I$8="A",(RANK(AG246,AG$11:AG$333,1)+COUNTIF(AG$11:AG246,AG246)-1),(RANK(AG246,AG$11:AG$333)+COUNTIF(AG$11:AG246,AG246)-1))</f>
        <v>235</v>
      </c>
      <c r="AF246" t="str">
        <f>VLOOKUP(Profile!$J$5,Families!$C:$R,2,FALSE)</f>
        <v>Cheshire West &amp; Chester</v>
      </c>
      <c r="AG246" s="15">
        <f t="shared" si="100"/>
        <v>100</v>
      </c>
      <c r="AH246" s="46">
        <f t="shared" si="88"/>
        <v>235</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90.909090909090907</v>
      </c>
    </row>
    <row r="247" spans="1:50">
      <c r="A247" s="55" t="str">
        <f>$D$1&amp;237</f>
        <v>UA237</v>
      </c>
      <c r="B247" s="56">
        <f>IF(ISERROR(VLOOKUP(A247,classifications!A:C,3,FALSE)),0,VLOOKUP(A247,classifications!A:C,3,FALSE))</f>
        <v>0</v>
      </c>
      <c r="C247" t="s">
        <v>144</v>
      </c>
      <c r="D247" t="str">
        <f>VLOOKUP($C247,classifications!$C:$J,4,FALSE)</f>
        <v>SD</v>
      </c>
      <c r="E247" t="str">
        <f>VLOOKUP(C247,classifications!C:K,9,FALSE)</f>
        <v>Sparse</v>
      </c>
      <c r="F247">
        <f t="shared" si="91"/>
        <v>80</v>
      </c>
      <c r="G247" s="15"/>
      <c r="H247" s="41" t="str">
        <f t="shared" si="92"/>
        <v/>
      </c>
      <c r="I247" s="73" t="str">
        <f>IF(H247="","",IF($I$8="A",(RANK(H247,H$11:H$333,1)+COUNTIF(H$11:H247,H247)-1),(RANK(H247,H$11:H$333)+COUNTIF(H$11:H247,H247)-1)))</f>
        <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f>IF(I$8="A",(RANK(AG247,AG$11:AG$333,1)+COUNTIF(AG$11:AG247,AG247)-1),(RANK(AG247,AG$11:AG$333)+COUNTIF(AG$11:AG247,AG247)-1))</f>
        <v>236</v>
      </c>
      <c r="AF247" t="str">
        <f>VLOOKUP(Profile!$J$5,Families!$C:$R,2,FALSE)</f>
        <v>Cheshire West &amp; Chester</v>
      </c>
      <c r="AG247" s="15">
        <f t="shared" si="100"/>
        <v>100</v>
      </c>
      <c r="AH247" s="46">
        <f t="shared" si="88"/>
        <v>236</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80</v>
      </c>
    </row>
    <row r="248" spans="1:50">
      <c r="A248" s="55" t="str">
        <f>$D$1&amp;238</f>
        <v>UA238</v>
      </c>
      <c r="B248" s="56">
        <f>IF(ISERROR(VLOOKUP(A248,classifications!A:C,3,FALSE)),0,VLOOKUP(A248,classifications!A:C,3,FALSE))</f>
        <v>0</v>
      </c>
      <c r="C248" t="s">
        <v>146</v>
      </c>
      <c r="D248" t="str">
        <f>VLOOKUP($C248,classifications!$C:$J,4,FALSE)</f>
        <v>SD</v>
      </c>
      <c r="E248" t="str">
        <f>VLOOKUP(C248,classifications!C:K,9,FALSE)</f>
        <v>Sparse</v>
      </c>
      <c r="F248">
        <f t="shared" si="91"/>
        <v>100</v>
      </c>
      <c r="G248" s="15"/>
      <c r="H248" s="41" t="str">
        <f t="shared" si="92"/>
        <v/>
      </c>
      <c r="I248" s="73" t="str">
        <f>IF(H248="","",IF($I$8="A",(RANK(H248,H$11:H$333,1)+COUNTIF(H$11:H248,H248)-1),(RANK(H248,H$11:H$333)+COUNTIF(H$11:H248,H248)-1)))</f>
        <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f>IF(I$8="A",(RANK(AG248,AG$11:AG$333,1)+COUNTIF(AG$11:AG248,AG248)-1),(RANK(AG248,AG$11:AG$333)+COUNTIF(AG$11:AG248,AG248)-1))</f>
        <v>237</v>
      </c>
      <c r="AF248" t="str">
        <f>VLOOKUP(Profile!$J$5,Families!$C:$R,2,FALSE)</f>
        <v>Cheshire West &amp; Chester</v>
      </c>
      <c r="AG248" s="15">
        <f t="shared" si="100"/>
        <v>100</v>
      </c>
      <c r="AH248" s="46">
        <f t="shared" si="88"/>
        <v>237</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100</v>
      </c>
    </row>
    <row r="249" spans="1:50">
      <c r="A249" s="55" t="str">
        <f>$D$1&amp;239</f>
        <v>UA239</v>
      </c>
      <c r="B249" s="56">
        <f>IF(ISERROR(VLOOKUP(A249,classifications!A:C,3,FALSE)),0,VLOOKUP(A249,classifications!A:C,3,FALSE))</f>
        <v>0</v>
      </c>
      <c r="C249" t="s">
        <v>147</v>
      </c>
      <c r="D249" t="str">
        <f>VLOOKUP($C249,classifications!$C:$J,4,FALSE)</f>
        <v>SD</v>
      </c>
      <c r="E249">
        <f>VLOOKUP(C249,classifications!C:K,9,FALSE)</f>
        <v>0</v>
      </c>
      <c r="F249">
        <f t="shared" si="91"/>
        <v>100</v>
      </c>
      <c r="G249" s="15"/>
      <c r="H249" s="41" t="str">
        <f t="shared" si="92"/>
        <v/>
      </c>
      <c r="I249" s="73" t="str">
        <f>IF(H249="","",IF($I$8="A",(RANK(H249,H$11:H$333,1)+COUNTIF(H$11:H249,H249)-1),(RANK(H249,H$11:H$333)+COUNTIF(H$11:H249,H249)-1)))</f>
        <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f>IF(I$8="A",(RANK(AG249,AG$11:AG$333,1)+COUNTIF(AG$11:AG249,AG249)-1),(RANK(AG249,AG$11:AG$333)+COUNTIF(AG$11:AG249,AG249)-1))</f>
        <v>238</v>
      </c>
      <c r="AF249" t="str">
        <f>VLOOKUP(Profile!$J$5,Families!$C:$R,2,FALSE)</f>
        <v>Cheshire West &amp; Chester</v>
      </c>
      <c r="AG249" s="15">
        <f t="shared" si="100"/>
        <v>100</v>
      </c>
      <c r="AH249" s="46">
        <f t="shared" si="88"/>
        <v>238</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100</v>
      </c>
    </row>
    <row r="250" spans="1:50">
      <c r="A250" s="55" t="str">
        <f>$D$1&amp;240</f>
        <v>UA240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t="str">
        <f t="shared" si="92"/>
        <v/>
      </c>
      <c r="I250" s="73" t="str">
        <f>IF(H250="","",IF($I$8="A",(RANK(H250,H$11:H$333,1)+COUNTIF(H$11:H250,H250)-1),(RANK(H250,H$11:H$333)+COUNTIF(H$11:H250,H250)-1)))</f>
        <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f>IF(I$8="A",(RANK(AG250,AG$11:AG$333,1)+COUNTIF(AG$11:AG250,AG250)-1),(RANK(AG250,AG$11:AG$333)+COUNTIF(AG$11:AG250,AG250)-1))</f>
        <v>239</v>
      </c>
      <c r="AF250" t="str">
        <f>VLOOKUP(Profile!$J$5,Families!$C:$R,2,FALSE)</f>
        <v>Cheshire West &amp; Chester</v>
      </c>
      <c r="AG250" s="15">
        <f t="shared" si="100"/>
        <v>100</v>
      </c>
      <c r="AH250" s="46">
        <f t="shared" ref="AH250:AH313" si="112">AE250</f>
        <v>239</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UA241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f>IF(I$8="A",(RANK(AG251,AG$11:AG$333,1)+COUNTIF(AG$11:AG251,AG251)-1),(RANK(AG251,AG$11:AG$333)+COUNTIF(AG$11:AG251,AG251)-1))</f>
        <v>240</v>
      </c>
      <c r="AF251" t="str">
        <f>VLOOKUP(Profile!$J$5,Families!$C:$R,2,FALSE)</f>
        <v>Cheshire West &amp; Chester</v>
      </c>
      <c r="AG251" s="15">
        <f t="shared" si="100"/>
        <v>100</v>
      </c>
      <c r="AH251" s="46">
        <f t="shared" si="112"/>
        <v>240</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UA242</v>
      </c>
      <c r="B252" s="56">
        <f>IF(ISERROR(VLOOKUP(A252,classifications!A:C,3,FALSE)),0,VLOOKUP(A252,classifications!A:C,3,FALSE))</f>
        <v>0</v>
      </c>
      <c r="C252" t="s">
        <v>288</v>
      </c>
      <c r="D252" t="str">
        <f>VLOOKUP($C252,classifications!$C:$J,4,FALSE)</f>
        <v>UA</v>
      </c>
      <c r="E252">
        <f>VLOOKUP(C252,classifications!C:K,9,FALSE)</f>
        <v>0</v>
      </c>
      <c r="F252">
        <f t="shared" si="91"/>
        <v>83.333333333333343</v>
      </c>
      <c r="G252" s="15"/>
      <c r="H252" s="41">
        <f t="shared" si="92"/>
        <v>83.333333333333343</v>
      </c>
      <c r="I252" s="73">
        <f>IF(H252="","",IF($I$8="A",(RANK(H252,H$11:H$333,1)+COUNTIF(H$11:H252,H252)-1),(RANK(H252,H$11:H$333)+COUNTIF(H$11:H252,H252)-1)))</f>
        <v>50</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f>IF(I$8="A",(RANK(AG252,AG$11:AG$333,1)+COUNTIF(AG$11:AG252,AG252)-1),(RANK(AG252,AG$11:AG$333)+COUNTIF(AG$11:AG252,AG252)-1))</f>
        <v>241</v>
      </c>
      <c r="AF252" t="str">
        <f>VLOOKUP(Profile!$J$5,Families!$C:$R,2,FALSE)</f>
        <v>Cheshire West &amp; Chester</v>
      </c>
      <c r="AG252" s="15">
        <f t="shared" si="100"/>
        <v>100</v>
      </c>
      <c r="AH252" s="46">
        <f t="shared" si="112"/>
        <v>241</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83.333333333333343</v>
      </c>
    </row>
    <row r="253" spans="1:50">
      <c r="A253" s="55" t="str">
        <f>$D$1&amp;243</f>
        <v>UA243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f t="shared" si="92"/>
        <v>100</v>
      </c>
      <c r="I253" s="73">
        <f>IF(H253="","",IF($I$8="A",(RANK(H253,H$11:H$333,1)+COUNTIF(H$11:H253,H253)-1),(RANK(H253,H$11:H$333)+COUNTIF(H$11:H253,H253)-1)))</f>
        <v>18</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f>IF(I$8="A",(RANK(AG253,AG$11:AG$333,1)+COUNTIF(AG$11:AG253,AG253)-1),(RANK(AG253,AG$11:AG$333)+COUNTIF(AG$11:AG253,AG253)-1))</f>
        <v>242</v>
      </c>
      <c r="AF253" t="str">
        <f>VLOOKUP(Profile!$J$5,Families!$C:$R,2,FALSE)</f>
        <v>Cheshire West &amp; Chester</v>
      </c>
      <c r="AG253" s="15">
        <f t="shared" si="100"/>
        <v>100</v>
      </c>
      <c r="AH253" s="46">
        <f t="shared" si="112"/>
        <v>242</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UA244</v>
      </c>
      <c r="B254" s="56">
        <f>IF(ISERROR(VLOOKUP(A254,classifications!A:C,3,FALSE)),0,VLOOKUP(A254,classifications!A:C,3,FALSE))</f>
        <v>0</v>
      </c>
      <c r="C254" t="s">
        <v>217</v>
      </c>
      <c r="D254" t="str">
        <f>VLOOKUP($C254,classifications!$C:$J,4,FALSE)</f>
        <v>L</v>
      </c>
      <c r="E254">
        <f>VLOOKUP(C254,classifications!C:K,9,FALSE)</f>
        <v>0</v>
      </c>
      <c r="F254">
        <f t="shared" si="91"/>
        <v>72.727272727272734</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f>IF(I$8="A",(RANK(AG254,AG$11:AG$333,1)+COUNTIF(AG$11:AG254,AG254)-1),(RANK(AG254,AG$11:AG$333)+COUNTIF(AG$11:AG254,AG254)-1))</f>
        <v>243</v>
      </c>
      <c r="AF254" t="str">
        <f>VLOOKUP(Profile!$J$5,Families!$C:$R,2,FALSE)</f>
        <v>Cheshire West &amp; Chester</v>
      </c>
      <c r="AG254" s="15">
        <f t="shared" si="100"/>
        <v>100</v>
      </c>
      <c r="AH254" s="46">
        <f t="shared" si="112"/>
        <v>243</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72.727272727272734</v>
      </c>
    </row>
    <row r="255" spans="1:50">
      <c r="A255" s="55" t="str">
        <f>$D$1&amp;245</f>
        <v>UA245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t="str">
        <f t="shared" si="92"/>
        <v/>
      </c>
      <c r="I255" s="73" t="str">
        <f>IF(H255="","",IF($I$8="A",(RANK(H255,H$11:H$333,1)+COUNTIF(H$11:H255,H255)-1),(RANK(H255,H$11:H$333)+COUNTIF(H$11:H255,H255)-1)))</f>
        <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f>IF(I$8="A",(RANK(AG255,AG$11:AG$333,1)+COUNTIF(AG$11:AG255,AG255)-1),(RANK(AG255,AG$11:AG$333)+COUNTIF(AG$11:AG255,AG255)-1))</f>
        <v>244</v>
      </c>
      <c r="AF255" t="str">
        <f>VLOOKUP(Profile!$J$5,Families!$C:$R,2,FALSE)</f>
        <v>Cheshire West &amp; Chester</v>
      </c>
      <c r="AG255" s="15">
        <f t="shared" si="100"/>
        <v>100</v>
      </c>
      <c r="AH255" s="46">
        <f t="shared" si="112"/>
        <v>244</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UA246</v>
      </c>
      <c r="B256" s="56">
        <f>IF(ISERROR(VLOOKUP(A256,classifications!A:C,3,FALSE)),0,VLOOKUP(A256,classifications!A:C,3,FALSE))</f>
        <v>0</v>
      </c>
      <c r="C256" t="s">
        <v>151</v>
      </c>
      <c r="D256" t="str">
        <f>VLOOKUP($C256,classifications!$C:$J,4,FALSE)</f>
        <v>SD</v>
      </c>
      <c r="E256">
        <f>VLOOKUP(C256,classifications!C:K,9,FALSE)</f>
        <v>0</v>
      </c>
      <c r="F256">
        <f t="shared" si="91"/>
        <v>87.5</v>
      </c>
      <c r="G256" s="15"/>
      <c r="H256" s="41" t="str">
        <f t="shared" si="92"/>
        <v/>
      </c>
      <c r="I256" s="73" t="str">
        <f>IF(H256="","",IF($I$8="A",(RANK(H256,H$11:H$333,1)+COUNTIF(H$11:H256,H256)-1),(RANK(H256,H$11:H$333)+COUNTIF(H$11:H256,H256)-1)))</f>
        <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f>IF(I$8="A",(RANK(AG256,AG$11:AG$333,1)+COUNTIF(AG$11:AG256,AG256)-1),(RANK(AG256,AG$11:AG$333)+COUNTIF(AG$11:AG256,AG256)-1))</f>
        <v>245</v>
      </c>
      <c r="AF256" t="str">
        <f>VLOOKUP(Profile!$J$5,Families!$C:$R,2,FALSE)</f>
        <v>Cheshire West &amp; Chester</v>
      </c>
      <c r="AG256" s="15">
        <f t="shared" si="100"/>
        <v>100</v>
      </c>
      <c r="AH256" s="46">
        <f t="shared" si="112"/>
        <v>245</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87.5</v>
      </c>
    </row>
    <row r="257" spans="1:50">
      <c r="A257" s="55" t="str">
        <f>$D$1&amp;247</f>
        <v>UA247</v>
      </c>
      <c r="B257" s="56">
        <f>IF(ISERROR(VLOOKUP(A257,classifications!A:C,3,FALSE)),0,VLOOKUP(A257,classifications!A:C,3,FALSE))</f>
        <v>0</v>
      </c>
      <c r="C257" t="s">
        <v>248</v>
      </c>
      <c r="D257" t="str">
        <f>VLOOKUP($C257,classifications!$C:$J,4,FALSE)</f>
        <v>MD</v>
      </c>
      <c r="E257">
        <f>VLOOKUP(C257,classifications!C:K,9,FALSE)</f>
        <v>0</v>
      </c>
      <c r="F257">
        <f t="shared" si="91"/>
        <v>100</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f>IF(I$8="A",(RANK(AG257,AG$11:AG$333,1)+COUNTIF(AG$11:AG257,AG257)-1),(RANK(AG257,AG$11:AG$333)+COUNTIF(AG$11:AG257,AG257)-1))</f>
        <v>246</v>
      </c>
      <c r="AF257" t="str">
        <f>VLOOKUP(Profile!$J$5,Families!$C:$R,2,FALSE)</f>
        <v>Cheshire West &amp; Chester</v>
      </c>
      <c r="AG257" s="15">
        <f t="shared" si="100"/>
        <v>100</v>
      </c>
      <c r="AH257" s="46">
        <f t="shared" si="112"/>
        <v>246</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100</v>
      </c>
    </row>
    <row r="258" spans="1:50">
      <c r="A258" s="55" t="str">
        <f>$D$1&amp;248</f>
        <v>UA248</v>
      </c>
      <c r="B258" s="56">
        <f>IF(ISERROR(VLOOKUP(A258,classifications!A:C,3,FALSE)),0,VLOOKUP(A258,classifications!A:C,3,FALSE))</f>
        <v>0</v>
      </c>
      <c r="C258" t="s">
        <v>153</v>
      </c>
      <c r="D258" t="str">
        <f>VLOOKUP($C258,classifications!$C:$J,4,FALSE)</f>
        <v>SD</v>
      </c>
      <c r="E258" t="str">
        <f>VLOOKUP(C258,classifications!C:K,9,FALSE)</f>
        <v>Sparse</v>
      </c>
      <c r="F258">
        <f t="shared" si="91"/>
        <v>84.615384615384613</v>
      </c>
      <c r="G258" s="15"/>
      <c r="H258" s="41" t="str">
        <f t="shared" si="92"/>
        <v/>
      </c>
      <c r="I258" s="73" t="str">
        <f>IF(H258="","",IF($I$8="A",(RANK(H258,H$11:H$333,1)+COUNTIF(H$11:H258,H258)-1),(RANK(H258,H$11:H$333)+COUNTIF(H$11:H258,H258)-1)))</f>
        <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f>IF(I$8="A",(RANK(AG258,AG$11:AG$333,1)+COUNTIF(AG$11:AG258,AG258)-1),(RANK(AG258,AG$11:AG$333)+COUNTIF(AG$11:AG258,AG258)-1))</f>
        <v>247</v>
      </c>
      <c r="AF258" t="str">
        <f>VLOOKUP(Profile!$J$5,Families!$C:$R,2,FALSE)</f>
        <v>Cheshire West &amp; Chester</v>
      </c>
      <c r="AG258" s="15">
        <f t="shared" si="100"/>
        <v>100</v>
      </c>
      <c r="AH258" s="46">
        <f t="shared" si="112"/>
        <v>247</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84.615384615384613</v>
      </c>
    </row>
    <row r="259" spans="1:50">
      <c r="A259" s="55" t="str">
        <f>$D$1&amp;249</f>
        <v>UA249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f>IF(I$8="A",(RANK(AG259,AG$11:AG$333,1)+COUNTIF(AG$11:AG259,AG259)-1),(RANK(AG259,AG$11:AG$333)+COUNTIF(AG$11:AG259,AG259)-1))</f>
        <v>248</v>
      </c>
      <c r="AF259" t="str">
        <f>VLOOKUP(Profile!$J$5,Families!$C:$R,2,FALSE)</f>
        <v>Cheshire West &amp; Chester</v>
      </c>
      <c r="AG259" s="15">
        <f t="shared" si="100"/>
        <v>100</v>
      </c>
      <c r="AH259" s="46">
        <f t="shared" si="112"/>
        <v>248</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UA250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t="str">
        <f t="shared" si="92"/>
        <v/>
      </c>
      <c r="I260" s="73" t="str">
        <f>IF(H260="","",IF($I$8="A",(RANK(H260,H$11:H$333,1)+COUNTIF(H$11:H260,H260)-1),(RANK(H260,H$11:H$333)+COUNTIF(H$11:H260,H260)-1)))</f>
        <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f>IF(I$8="A",(RANK(AG260,AG$11:AG$333,1)+COUNTIF(AG$11:AG260,AG260)-1),(RANK(AG260,AG$11:AG$333)+COUNTIF(AG$11:AG260,AG260)-1))</f>
        <v>249</v>
      </c>
      <c r="AF260" t="str">
        <f>VLOOKUP(Profile!$J$5,Families!$C:$R,2,FALSE)</f>
        <v>Cheshire West &amp; Chester</v>
      </c>
      <c r="AG260" s="15">
        <f t="shared" si="100"/>
        <v>100</v>
      </c>
      <c r="AH260" s="46">
        <f t="shared" si="112"/>
        <v>249</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UA251</v>
      </c>
      <c r="B261" s="56">
        <f>IF(ISERROR(VLOOKUP(A261,classifications!A:C,3,FALSE)),0,VLOOKUP(A261,classifications!A:C,3,FALSE))</f>
        <v>0</v>
      </c>
      <c r="C261" t="s">
        <v>155</v>
      </c>
      <c r="D261" t="str">
        <f>VLOOKUP($C261,classifications!$C:$J,4,FALSE)</f>
        <v>SD</v>
      </c>
      <c r="E261">
        <f>VLOOKUP(C261,classifications!C:K,9,FALSE)</f>
        <v>0</v>
      </c>
      <c r="F261">
        <f t="shared" si="91"/>
        <v>100</v>
      </c>
      <c r="G261" s="15"/>
      <c r="H261" s="41" t="str">
        <f t="shared" si="92"/>
        <v/>
      </c>
      <c r="I261" s="73" t="str">
        <f>IF(H261="","",IF($I$8="A",(RANK(H261,H$11:H$333,1)+COUNTIF(H$11:H261,H261)-1),(RANK(H261,H$11:H$333)+COUNTIF(H$11:H261,H261)-1)))</f>
        <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f>IF(I$8="A",(RANK(AG261,AG$11:AG$333,1)+COUNTIF(AG$11:AG261,AG261)-1),(RANK(AG261,AG$11:AG$333)+COUNTIF(AG$11:AG261,AG261)-1))</f>
        <v>250</v>
      </c>
      <c r="AF261" t="str">
        <f>VLOOKUP(Profile!$J$5,Families!$C:$R,2,FALSE)</f>
        <v>Cheshire West &amp; Chester</v>
      </c>
      <c r="AG261" s="15">
        <f t="shared" si="100"/>
        <v>100</v>
      </c>
      <c r="AH261" s="46">
        <f t="shared" si="112"/>
        <v>250</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100</v>
      </c>
    </row>
    <row r="262" spans="1:50">
      <c r="A262" s="55" t="str">
        <f>$D$1&amp;252</f>
        <v>UA252</v>
      </c>
      <c r="B262" s="56">
        <f>IF(ISERROR(VLOOKUP(A262,classifications!A:C,3,FALSE)),0,VLOOKUP(A262,classifications!A:C,3,FALSE))</f>
        <v>0</v>
      </c>
      <c r="C262" t="s">
        <v>249</v>
      </c>
      <c r="D262" t="str">
        <f>VLOOKUP($C262,classifications!$C:$J,4,FALSE)</f>
        <v>MD</v>
      </c>
      <c r="E262">
        <f>VLOOKUP(C262,classifications!C:K,9,FALSE)</f>
        <v>0</v>
      </c>
      <c r="F262">
        <f t="shared" si="91"/>
        <v>100</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f>IF(I$8="A",(RANK(AG262,AG$11:AG$333,1)+COUNTIF(AG$11:AG262,AG262)-1),(RANK(AG262,AG$11:AG$333)+COUNTIF(AG$11:AG262,AG262)-1))</f>
        <v>251</v>
      </c>
      <c r="AF262" t="str">
        <f>VLOOKUP(Profile!$J$5,Families!$C:$R,2,FALSE)</f>
        <v>Cheshire West &amp; Chester</v>
      </c>
      <c r="AG262" s="15">
        <f t="shared" si="100"/>
        <v>100</v>
      </c>
      <c r="AH262" s="46">
        <f t="shared" si="112"/>
        <v>251</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100</v>
      </c>
    </row>
    <row r="263" spans="1:50">
      <c r="A263" s="55" t="str">
        <f>$D$1&amp;253</f>
        <v>UA253</v>
      </c>
      <c r="B263" s="56">
        <f>IF(ISERROR(VLOOKUP(A263,classifications!A:C,3,FALSE)),0,VLOOKUP(A263,classifications!A:C,3,FALSE))</f>
        <v>0</v>
      </c>
      <c r="C263" t="s">
        <v>290</v>
      </c>
      <c r="D263" t="str">
        <f>VLOOKUP($C263,classifications!$C:$J,4,FALSE)</f>
        <v>UA</v>
      </c>
      <c r="E263">
        <f>VLOOKUP(C263,classifications!C:K,9,FALSE)</f>
        <v>0</v>
      </c>
      <c r="F263">
        <f t="shared" si="91"/>
        <v>66.666666666666657</v>
      </c>
      <c r="G263" s="15"/>
      <c r="H263" s="41">
        <f t="shared" si="92"/>
        <v>66.666666666666657</v>
      </c>
      <c r="I263" s="73">
        <f>IF(H263="","",IF($I$8="A",(RANK(H263,H$11:H$333,1)+COUNTIF(H$11:H263,H263)-1),(RANK(H263,H$11:H$333)+COUNTIF(H$11:H263,H263)-1)))</f>
        <v>59</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f>IF(I$8="A",(RANK(AG263,AG$11:AG$333,1)+COUNTIF(AG$11:AG263,AG263)-1),(RANK(AG263,AG$11:AG$333)+COUNTIF(AG$11:AG263,AG263)-1))</f>
        <v>252</v>
      </c>
      <c r="AF263" t="str">
        <f>VLOOKUP(Profile!$J$5,Families!$C:$R,2,FALSE)</f>
        <v>Cheshire West &amp; Chester</v>
      </c>
      <c r="AG263" s="15">
        <f t="shared" si="100"/>
        <v>100</v>
      </c>
      <c r="AH263" s="46">
        <f t="shared" si="112"/>
        <v>252</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66.666666666666657</v>
      </c>
    </row>
    <row r="264" spans="1:50">
      <c r="A264" s="55" t="str">
        <f>$D$1&amp;254</f>
        <v>UA254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f t="shared" si="92"/>
        <v>100</v>
      </c>
      <c r="I264" s="73">
        <f>IF(H264="","",IF($I$8="A",(RANK(H264,H$11:H$333,1)+COUNTIF(H$11:H264,H264)-1),(RANK(H264,H$11:H$333)+COUNTIF(H$11:H264,H264)-1)))</f>
        <v>19</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f>IF(I$8="A",(RANK(AG264,AG$11:AG$333,1)+COUNTIF(AG$11:AG264,AG264)-1),(RANK(AG264,AG$11:AG$333)+COUNTIF(AG$11:AG264,AG264)-1))</f>
        <v>253</v>
      </c>
      <c r="AF264" t="str">
        <f>VLOOKUP(Profile!$J$5,Families!$C:$R,2,FALSE)</f>
        <v>Cheshire West &amp; Chester</v>
      </c>
      <c r="AG264" s="15">
        <f t="shared" si="100"/>
        <v>100</v>
      </c>
      <c r="AH264" s="46">
        <f t="shared" si="112"/>
        <v>253</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UA255</v>
      </c>
      <c r="B265" s="56">
        <f>IF(ISERROR(VLOOKUP(A265,classifications!A:C,3,FALSE)),0,VLOOKUP(A265,classifications!A:C,3,FALSE))</f>
        <v>0</v>
      </c>
      <c r="C265" t="s">
        <v>156</v>
      </c>
      <c r="D265" t="str">
        <f>VLOOKUP($C265,classifications!$C:$J,4,FALSE)</f>
        <v>SD</v>
      </c>
      <c r="E265" t="str">
        <f>VLOOKUP(C265,classifications!C:K,9,FALSE)</f>
        <v>Sparse</v>
      </c>
      <c r="F265">
        <f t="shared" si="91"/>
        <v>91.666666666666657</v>
      </c>
      <c r="G265" s="15"/>
      <c r="H265" s="41" t="str">
        <f t="shared" si="92"/>
        <v/>
      </c>
      <c r="I265" s="73" t="str">
        <f>IF(H265="","",IF($I$8="A",(RANK(H265,H$11:H$333,1)+COUNTIF(H$11:H265,H265)-1),(RANK(H265,H$11:H$333)+COUNTIF(H$11:H265,H265)-1)))</f>
        <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f>IF(I$8="A",(RANK(AG265,AG$11:AG$333,1)+COUNTIF(AG$11:AG265,AG265)-1),(RANK(AG265,AG$11:AG$333)+COUNTIF(AG$11:AG265,AG265)-1))</f>
        <v>254</v>
      </c>
      <c r="AF265" t="str">
        <f>VLOOKUP(Profile!$J$5,Families!$C:$R,2,FALSE)</f>
        <v>Cheshire West &amp; Chester</v>
      </c>
      <c r="AG265" s="15">
        <f t="shared" si="100"/>
        <v>100</v>
      </c>
      <c r="AH265" s="46">
        <f t="shared" si="112"/>
        <v>254</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91.666666666666657</v>
      </c>
    </row>
    <row r="266" spans="1:50">
      <c r="A266" s="55" t="str">
        <f>$D$1&amp;256</f>
        <v>UA256</v>
      </c>
      <c r="B266" s="56">
        <f>IF(ISERROR(VLOOKUP(A266,classifications!A:C,3,FALSE)),0,VLOOKUP(A266,classifications!A:C,3,FALSE))</f>
        <v>0</v>
      </c>
      <c r="C266" t="s">
        <v>157</v>
      </c>
      <c r="D266" t="str">
        <f>VLOOKUP($C266,classifications!$C:$J,4,FALSE)</f>
        <v>SD</v>
      </c>
      <c r="E266" t="str">
        <f>VLOOKUP(C266,classifications!C:K,9,FALSE)</f>
        <v>Sparse</v>
      </c>
      <c r="F266">
        <f t="shared" si="91"/>
        <v>87.5</v>
      </c>
      <c r="G266" s="15"/>
      <c r="H266" s="41" t="str">
        <f t="shared" si="92"/>
        <v/>
      </c>
      <c r="I266" s="73" t="str">
        <f>IF(H266="","",IF($I$8="A",(RANK(H266,H$11:H$333,1)+COUNTIF(H$11:H266,H266)-1),(RANK(H266,H$11:H$333)+COUNTIF(H$11:H266,H266)-1)))</f>
        <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f>IF(I$8="A",(RANK(AG266,AG$11:AG$333,1)+COUNTIF(AG$11:AG266,AG266)-1),(RANK(AG266,AG$11:AG$333)+COUNTIF(AG$11:AG266,AG266)-1))</f>
        <v>255</v>
      </c>
      <c r="AF266" t="str">
        <f>VLOOKUP(Profile!$J$5,Families!$C:$R,2,FALSE)</f>
        <v>Cheshire West &amp; Chester</v>
      </c>
      <c r="AG266" s="15">
        <f t="shared" si="100"/>
        <v>100</v>
      </c>
      <c r="AH266" s="46">
        <f t="shared" si="112"/>
        <v>255</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87.5</v>
      </c>
    </row>
    <row r="267" spans="1:50">
      <c r="A267" s="55" t="str">
        <f>$D$1&amp;257</f>
        <v>UA257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f>IF(I$8="A",(RANK(AG267,AG$11:AG$333,1)+COUNTIF(AG$11:AG267,AG267)-1),(RANK(AG267,AG$11:AG$333)+COUNTIF(AG$11:AG267,AG267)-1))</f>
        <v>256</v>
      </c>
      <c r="AF267" t="str">
        <f>VLOOKUP(Profile!$J$5,Families!$C:$R,2,FALSE)</f>
        <v>Cheshire West &amp; Chester</v>
      </c>
      <c r="AG267" s="15">
        <f t="shared" si="100"/>
        <v>100</v>
      </c>
      <c r="AH267" s="46">
        <f t="shared" si="112"/>
        <v>256</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UA258</v>
      </c>
      <c r="B268" s="56">
        <f>IF(ISERROR(VLOOKUP(A268,classifications!A:C,3,FALSE)),0,VLOOKUP(A268,classifications!A:C,3,FALSE))</f>
        <v>0</v>
      </c>
      <c r="C268" t="s">
        <v>250</v>
      </c>
      <c r="D268" t="str">
        <f>VLOOKUP($C268,classifications!$C:$J,4,FALSE)</f>
        <v>MD</v>
      </c>
      <c r="E268">
        <f>VLOOKUP(C268,classifications!C:K,9,FALSE)</f>
        <v>0</v>
      </c>
      <c r="F268">
        <f t="shared" si="115"/>
        <v>84.615384615384613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f>IF(I$8="A",(RANK(AG268,AG$11:AG$333,1)+COUNTIF(AG$11:AG268,AG268)-1),(RANK(AG268,AG$11:AG$333)+COUNTIF(AG$11:AG268,AG268)-1))</f>
        <v>257</v>
      </c>
      <c r="AF268" t="str">
        <f>VLOOKUP(Profile!$J$5,Families!$C:$R,2,FALSE)</f>
        <v>Cheshire West &amp; Chester</v>
      </c>
      <c r="AG268" s="15">
        <f t="shared" ref="AG268:AG327" si="124">VLOOKUP(AF268,$C$11:$H$333,4,FALSE)</f>
        <v>100</v>
      </c>
      <c r="AH268" s="46">
        <f t="shared" si="112"/>
        <v>257</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84.615384615384613</v>
      </c>
    </row>
    <row r="269" spans="1:50">
      <c r="A269" s="55" t="str">
        <f>$D$1&amp;259</f>
        <v>UA259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f>IF(I$8="A",(RANK(AG269,AG$11:AG$333,1)+COUNTIF(AG$11:AG269,AG269)-1),(RANK(AG269,AG$11:AG$333)+COUNTIF(AG$11:AG269,AG269)-1))</f>
        <v>258</v>
      </c>
      <c r="AF269" t="str">
        <f>VLOOKUP(Profile!$J$5,Families!$C:$R,2,FALSE)</f>
        <v>Cheshire West &amp; Chester</v>
      </c>
      <c r="AG269" s="15">
        <f t="shared" si="124"/>
        <v>100</v>
      </c>
      <c r="AH269" s="46">
        <f t="shared" si="112"/>
        <v>258</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UA260</v>
      </c>
      <c r="B270" s="56">
        <f>IF(ISERROR(VLOOKUP(A270,classifications!A:C,3,FALSE)),0,VLOOKUP(A270,classifications!A:C,3,FALSE))</f>
        <v>0</v>
      </c>
      <c r="C270" t="s">
        <v>159</v>
      </c>
      <c r="D270" t="str">
        <f>VLOOKUP($C270,classifications!$C:$J,4,FALSE)</f>
        <v>SD</v>
      </c>
      <c r="E270">
        <f>VLOOKUP(C270,classifications!C:K,9,FALSE)</f>
        <v>0</v>
      </c>
      <c r="F270">
        <f t="shared" si="115"/>
        <v>100</v>
      </c>
      <c r="G270" s="15"/>
      <c r="H270" s="41" t="str">
        <f t="shared" si="116"/>
        <v/>
      </c>
      <c r="I270" s="73" t="str">
        <f>IF(H270="","",IF($I$8="A",(RANK(H270,H$11:H$333,1)+COUNTIF(H$11:H270,H270)-1),(RANK(H270,H$11:H$333)+COUNTIF(H$11:H270,H270)-1)))</f>
        <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f>IF(I$8="A",(RANK(AG270,AG$11:AG$333,1)+COUNTIF(AG$11:AG270,AG270)-1),(RANK(AG270,AG$11:AG$333)+COUNTIF(AG$11:AG270,AG270)-1))</f>
        <v>259</v>
      </c>
      <c r="AF270" t="str">
        <f>VLOOKUP(Profile!$J$5,Families!$C:$R,2,FALSE)</f>
        <v>Cheshire West &amp; Chester</v>
      </c>
      <c r="AG270" s="15">
        <f t="shared" si="124"/>
        <v>100</v>
      </c>
      <c r="AH270" s="46">
        <f t="shared" si="112"/>
        <v>259</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100</v>
      </c>
    </row>
    <row r="271" spans="1:50">
      <c r="A271" s="55" t="str">
        <f>$D$1&amp;261</f>
        <v>UA261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f>IF(I$8="A",(RANK(AG271,AG$11:AG$333,1)+COUNTIF(AG$11:AG271,AG271)-1),(RANK(AG271,AG$11:AG$333)+COUNTIF(AG$11:AG271,AG271)-1))</f>
        <v>260</v>
      </c>
      <c r="AF271" t="str">
        <f>VLOOKUP(Profile!$J$5,Families!$C:$R,2,FALSE)</f>
        <v>Cheshire West &amp; Chester</v>
      </c>
      <c r="AG271" s="15">
        <f t="shared" si="124"/>
        <v>100</v>
      </c>
      <c r="AH271" s="46">
        <f t="shared" si="112"/>
        <v>260</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UA262</v>
      </c>
      <c r="B272" s="56">
        <f>IF(ISERROR(VLOOKUP(A272,classifications!A:C,3,FALSE)),0,VLOOKUP(A272,classifications!A:C,3,FALSE))</f>
        <v>0</v>
      </c>
      <c r="C272" t="s">
        <v>160</v>
      </c>
      <c r="D272" t="str">
        <f>VLOOKUP($C272,classifications!$C:$J,4,FALSE)</f>
        <v>SD</v>
      </c>
      <c r="E272">
        <f>VLOOKUP(C272,classifications!C:K,9,FALSE)</f>
        <v>0</v>
      </c>
      <c r="F272">
        <f t="shared" si="115"/>
        <v>88.235294117647058</v>
      </c>
      <c r="G272" s="15"/>
      <c r="H272" s="41" t="str">
        <f t="shared" si="116"/>
        <v/>
      </c>
      <c r="I272" s="73" t="str">
        <f>IF(H272="","",IF($I$8="A",(RANK(H272,H$11:H$333,1)+COUNTIF(H$11:H272,H272)-1),(RANK(H272,H$11:H$333)+COUNTIF(H$11:H272,H272)-1)))</f>
        <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f>IF(I$8="A",(RANK(AG272,AG$11:AG$333,1)+COUNTIF(AG$11:AG272,AG272)-1),(RANK(AG272,AG$11:AG$333)+COUNTIF(AG$11:AG272,AG272)-1))</f>
        <v>261</v>
      </c>
      <c r="AF272" t="str">
        <f>VLOOKUP(Profile!$J$5,Families!$C:$R,2,FALSE)</f>
        <v>Cheshire West &amp; Chester</v>
      </c>
      <c r="AG272" s="15">
        <f t="shared" si="124"/>
        <v>100</v>
      </c>
      <c r="AH272" s="46">
        <f t="shared" si="112"/>
        <v>261</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88.235294117647058</v>
      </c>
    </row>
    <row r="273" spans="1:50">
      <c r="A273" s="55" t="str">
        <f>$D$1&amp;263</f>
        <v>UA263</v>
      </c>
      <c r="B273" s="56">
        <f>IF(ISERROR(VLOOKUP(A273,classifications!A:C,3,FALSE)),0,VLOOKUP(A273,classifications!A:C,3,FALSE))</f>
        <v>0</v>
      </c>
      <c r="C273" t="s">
        <v>292</v>
      </c>
      <c r="D273" t="str">
        <f>VLOOKUP($C273,classifications!$C:$J,4,FALSE)</f>
        <v>UA</v>
      </c>
      <c r="E273">
        <f>VLOOKUP(C273,classifications!C:K,9,FALSE)</f>
        <v>0</v>
      </c>
      <c r="F273">
        <f t="shared" si="115"/>
        <v>100</v>
      </c>
      <c r="G273" s="15"/>
      <c r="H273" s="41">
        <f t="shared" si="116"/>
        <v>100</v>
      </c>
      <c r="I273" s="73">
        <f>IF(H273="","",IF($I$8="A",(RANK(H273,H$11:H$333,1)+COUNTIF(H$11:H273,H273)-1),(RANK(H273,H$11:H$333)+COUNTIF(H$11:H273,H273)-1)))</f>
        <v>20</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f>IF(I$8="A",(RANK(AG273,AG$11:AG$333,1)+COUNTIF(AG$11:AG273,AG273)-1),(RANK(AG273,AG$11:AG$333)+COUNTIF(AG$11:AG273,AG273)-1))</f>
        <v>262</v>
      </c>
      <c r="AF273" t="str">
        <f>VLOOKUP(Profile!$J$5,Families!$C:$R,2,FALSE)</f>
        <v>Cheshire West &amp; Chester</v>
      </c>
      <c r="AG273" s="15">
        <f t="shared" si="124"/>
        <v>100</v>
      </c>
      <c r="AH273" s="46">
        <f t="shared" si="112"/>
        <v>262</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100</v>
      </c>
    </row>
    <row r="274" spans="1:50">
      <c r="A274" s="55" t="str">
        <f>$D$1&amp;264</f>
        <v>UA264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f>IF(I$8="A",(RANK(AG274,AG$11:AG$333,1)+COUNTIF(AG$11:AG274,AG274)-1),(RANK(AG274,AG$11:AG$333)+COUNTIF(AG$11:AG274,AG274)-1))</f>
        <v>263</v>
      </c>
      <c r="AF274" t="str">
        <f>VLOOKUP(Profile!$J$5,Families!$C:$R,2,FALSE)</f>
        <v>Cheshire West &amp; Chester</v>
      </c>
      <c r="AG274" s="15">
        <f t="shared" si="124"/>
        <v>100</v>
      </c>
      <c r="AH274" s="46">
        <f t="shared" si="112"/>
        <v>263</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UA265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t="str">
        <f t="shared" si="116"/>
        <v/>
      </c>
      <c r="I275" s="73" t="str">
        <f>IF(H275="","",IF($I$8="A",(RANK(H275,H$11:H$333,1)+COUNTIF(H$11:H275,H275)-1),(RANK(H275,H$11:H$333)+COUNTIF(H$11:H275,H275)-1)))</f>
        <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f>IF(I$8="A",(RANK(AG275,AG$11:AG$333,1)+COUNTIF(AG$11:AG275,AG275)-1),(RANK(AG275,AG$11:AG$333)+COUNTIF(AG$11:AG275,AG275)-1))</f>
        <v>264</v>
      </c>
      <c r="AF275" t="str">
        <f>VLOOKUP(Profile!$J$5,Families!$C:$R,2,FALSE)</f>
        <v>Cheshire West &amp; Chester</v>
      </c>
      <c r="AG275" s="15">
        <f t="shared" si="124"/>
        <v>100</v>
      </c>
      <c r="AH275" s="46">
        <f t="shared" si="112"/>
        <v>264</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UA266</v>
      </c>
      <c r="B276" s="56">
        <f>IF(ISERROR(VLOOKUP(A276,classifications!A:C,3,FALSE)),0,VLOOKUP(A276,classifications!A:C,3,FALSE))</f>
        <v>0</v>
      </c>
      <c r="C276" t="s">
        <v>162</v>
      </c>
      <c r="D276" t="str">
        <f>VLOOKUP($C276,classifications!$C:$J,4,FALSE)</f>
        <v>SD</v>
      </c>
      <c r="E276">
        <f>VLOOKUP(C276,classifications!C:K,9,FALSE)</f>
        <v>0</v>
      </c>
      <c r="F276">
        <f t="shared" si="115"/>
        <v>60</v>
      </c>
      <c r="G276" s="15"/>
      <c r="H276" s="41" t="str">
        <f t="shared" si="116"/>
        <v/>
      </c>
      <c r="I276" s="73" t="str">
        <f>IF(H276="","",IF($I$8="A",(RANK(H276,H$11:H$333,1)+COUNTIF(H$11:H276,H276)-1),(RANK(H276,H$11:H$333)+COUNTIF(H$11:H276,H276)-1)))</f>
        <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f>IF(I$8="A",(RANK(AG276,AG$11:AG$333,1)+COUNTIF(AG$11:AG276,AG276)-1),(RANK(AG276,AG$11:AG$333)+COUNTIF(AG$11:AG276,AG276)-1))</f>
        <v>265</v>
      </c>
      <c r="AF276" t="str">
        <f>VLOOKUP(Profile!$J$5,Families!$C:$R,2,FALSE)</f>
        <v>Cheshire West &amp; Chester</v>
      </c>
      <c r="AG276" s="15">
        <f t="shared" si="124"/>
        <v>100</v>
      </c>
      <c r="AH276" s="46">
        <f t="shared" si="112"/>
        <v>265</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60</v>
      </c>
    </row>
    <row r="277" spans="1:50">
      <c r="A277" s="55" t="str">
        <f>$D$1&amp;267</f>
        <v>UA267</v>
      </c>
      <c r="B277" s="56">
        <f>IF(ISERROR(VLOOKUP(A277,classifications!A:C,3,FALSE)),0,VLOOKUP(A277,classifications!A:C,3,FALSE))</f>
        <v>0</v>
      </c>
      <c r="C277" t="s">
        <v>164</v>
      </c>
      <c r="D277" t="str">
        <f>VLOOKUP($C277,classifications!$C:$J,4,FALSE)</f>
        <v>SD</v>
      </c>
      <c r="E277" t="str">
        <f>VLOOKUP(C277,classifications!C:K,9,FALSE)</f>
        <v>Sparse</v>
      </c>
      <c r="F277">
        <f t="shared" si="115"/>
        <v>69.230769230769226</v>
      </c>
      <c r="G277" s="15"/>
      <c r="H277" s="41" t="str">
        <f t="shared" si="116"/>
        <v/>
      </c>
      <c r="I277" s="73" t="str">
        <f>IF(H277="","",IF($I$8="A",(RANK(H277,H$11:H$333,1)+COUNTIF(H$11:H277,H277)-1),(RANK(H277,H$11:H$333)+COUNTIF(H$11:H277,H277)-1)))</f>
        <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f>IF(I$8="A",(RANK(AG277,AG$11:AG$333,1)+COUNTIF(AG$11:AG277,AG277)-1),(RANK(AG277,AG$11:AG$333)+COUNTIF(AG$11:AG277,AG277)-1))</f>
        <v>266</v>
      </c>
      <c r="AF277" t="str">
        <f>VLOOKUP(Profile!$J$5,Families!$C:$R,2,FALSE)</f>
        <v>Cheshire West &amp; Chester</v>
      </c>
      <c r="AG277" s="15">
        <f t="shared" si="124"/>
        <v>100</v>
      </c>
      <c r="AH277" s="46">
        <f t="shared" si="112"/>
        <v>266</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69.230769230769226</v>
      </c>
    </row>
    <row r="278" spans="1:50">
      <c r="A278" s="55" t="str">
        <f>$D$1&amp;268</f>
        <v>UA268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f t="shared" si="116"/>
        <v>100</v>
      </c>
      <c r="I278" s="73">
        <f>IF(H278="","",IF($I$8="A",(RANK(H278,H$11:H$333,1)+COUNTIF(H$11:H278,H278)-1),(RANK(H278,H$11:H$333)+COUNTIF(H$11:H278,H278)-1)))</f>
        <v>21</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f>IF(I$8="A",(RANK(AG278,AG$11:AG$333,1)+COUNTIF(AG$11:AG278,AG278)-1),(RANK(AG278,AG$11:AG$333)+COUNTIF(AG$11:AG278,AG278)-1))</f>
        <v>267</v>
      </c>
      <c r="AF278" t="str">
        <f>VLOOKUP(Profile!$J$5,Families!$C:$R,2,FALSE)</f>
        <v>Cheshire West &amp; Chester</v>
      </c>
      <c r="AG278" s="15">
        <f t="shared" si="124"/>
        <v>100</v>
      </c>
      <c r="AH278" s="46">
        <f t="shared" si="112"/>
        <v>267</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UA269</v>
      </c>
      <c r="B279" s="56">
        <f>IF(ISERROR(VLOOKUP(A279,classifications!A:C,3,FALSE)),0,VLOOKUP(A279,classifications!A:C,3,FALSE))</f>
        <v>0</v>
      </c>
      <c r="C279" t="s">
        <v>165</v>
      </c>
      <c r="D279" t="str">
        <f>VLOOKUP($C279,classifications!$C:$J,4,FALSE)</f>
        <v>SD</v>
      </c>
      <c r="E279">
        <f>VLOOKUP(C279,classifications!C:K,9,FALSE)</f>
        <v>0</v>
      </c>
      <c r="F279">
        <f t="shared" si="115"/>
        <v>94.117647058823522</v>
      </c>
      <c r="G279" s="15"/>
      <c r="H279" s="41" t="str">
        <f t="shared" si="116"/>
        <v/>
      </c>
      <c r="I279" s="73" t="str">
        <f>IF(H279="","",IF($I$8="A",(RANK(H279,H$11:H$333,1)+COUNTIF(H$11:H279,H279)-1),(RANK(H279,H$11:H$333)+COUNTIF(H$11:H279,H279)-1)))</f>
        <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f>IF(I$8="A",(RANK(AG279,AG$11:AG$333,1)+COUNTIF(AG$11:AG279,AG279)-1),(RANK(AG279,AG$11:AG$333)+COUNTIF(AG$11:AG279,AG279)-1))</f>
        <v>268</v>
      </c>
      <c r="AF279" t="str">
        <f>VLOOKUP(Profile!$J$5,Families!$C:$R,2,FALSE)</f>
        <v>Cheshire West &amp; Chester</v>
      </c>
      <c r="AG279" s="15">
        <f t="shared" si="124"/>
        <v>100</v>
      </c>
      <c r="AH279" s="46">
        <f t="shared" si="112"/>
        <v>268</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94.117647058823522</v>
      </c>
    </row>
    <row r="280" spans="1:50">
      <c r="A280" s="55" t="str">
        <f>$D$1&amp;270</f>
        <v>UA270</v>
      </c>
      <c r="B280" s="56">
        <f>IF(ISERROR(VLOOKUP(A280,classifications!A:C,3,FALSE)),0,VLOOKUP(A280,classifications!A:C,3,FALSE))</f>
        <v>0</v>
      </c>
      <c r="C280" t="s">
        <v>166</v>
      </c>
      <c r="D280" t="str">
        <f>VLOOKUP($C280,classifications!$C:$J,4,FALSE)</f>
        <v>SD</v>
      </c>
      <c r="E280">
        <f>VLOOKUP(C280,classifications!C:K,9,FALSE)</f>
        <v>0</v>
      </c>
      <c r="F280">
        <f t="shared" si="115"/>
        <v>100</v>
      </c>
      <c r="G280" s="15"/>
      <c r="H280" s="41" t="str">
        <f t="shared" si="116"/>
        <v/>
      </c>
      <c r="I280" s="73" t="str">
        <f>IF(H280="","",IF($I$8="A",(RANK(H280,H$11:H$333,1)+COUNTIF(H$11:H280,H280)-1),(RANK(H280,H$11:H$333)+COUNTIF(H$11:H280,H280)-1)))</f>
        <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f>IF(I$8="A",(RANK(AG280,AG$11:AG$333,1)+COUNTIF(AG$11:AG280,AG280)-1),(RANK(AG280,AG$11:AG$333)+COUNTIF(AG$11:AG280,AG280)-1))</f>
        <v>269</v>
      </c>
      <c r="AF280" t="str">
        <f>VLOOKUP(Profile!$J$5,Families!$C:$R,2,FALSE)</f>
        <v>Cheshire West &amp; Chester</v>
      </c>
      <c r="AG280" s="15">
        <f t="shared" si="124"/>
        <v>100</v>
      </c>
      <c r="AH280" s="46">
        <f t="shared" si="112"/>
        <v>269</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100</v>
      </c>
    </row>
    <row r="281" spans="1:50">
      <c r="A281" s="55" t="str">
        <f>$D$1&amp;271</f>
        <v>UA271</v>
      </c>
      <c r="B281" s="56">
        <f>IF(ISERROR(VLOOKUP(A281,classifications!A:C,3,FALSE)),0,VLOOKUP(A281,classifications!A:C,3,FALSE))</f>
        <v>0</v>
      </c>
      <c r="C281" t="s">
        <v>167</v>
      </c>
      <c r="D281" t="str">
        <f>VLOOKUP($C281,classifications!$C:$J,4,FALSE)</f>
        <v>SD</v>
      </c>
      <c r="E281" t="str">
        <f>VLOOKUP(C281,classifications!C:K,9,FALSE)</f>
        <v>Sparse</v>
      </c>
      <c r="F281">
        <f t="shared" si="115"/>
        <v>85.714285714285708</v>
      </c>
      <c r="G281" s="15"/>
      <c r="H281" s="41" t="str">
        <f t="shared" si="116"/>
        <v/>
      </c>
      <c r="I281" s="73" t="str">
        <f>IF(H281="","",IF($I$8="A",(RANK(H281,H$11:H$333,1)+COUNTIF(H$11:H281,H281)-1),(RANK(H281,H$11:H$333)+COUNTIF(H$11:H281,H281)-1)))</f>
        <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f>IF(I$8="A",(RANK(AG281,AG$11:AG$333,1)+COUNTIF(AG$11:AG281,AG281)-1),(RANK(AG281,AG$11:AG$333)+COUNTIF(AG$11:AG281,AG281)-1))</f>
        <v>270</v>
      </c>
      <c r="AF281" t="str">
        <f>VLOOKUP(Profile!$J$5,Families!$C:$R,2,FALSE)</f>
        <v>Cheshire West &amp; Chester</v>
      </c>
      <c r="AG281" s="15">
        <f t="shared" si="124"/>
        <v>100</v>
      </c>
      <c r="AH281" s="46">
        <f t="shared" si="112"/>
        <v>270</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85.714285714285708</v>
      </c>
    </row>
    <row r="282" spans="1:50">
      <c r="A282" s="55" t="str">
        <f>$D$1&amp;272</f>
        <v>UA272</v>
      </c>
      <c r="B282" s="56">
        <f>IF(ISERROR(VLOOKUP(A282,classifications!A:C,3,FALSE)),0,VLOOKUP(A282,classifications!A:C,3,FALSE))</f>
        <v>0</v>
      </c>
      <c r="C282" t="s">
        <v>168</v>
      </c>
      <c r="D282" t="str">
        <f>VLOOKUP($C282,classifications!$C:$J,4,FALSE)</f>
        <v>SD</v>
      </c>
      <c r="E282">
        <f>VLOOKUP(C282,classifications!C:K,9,FALSE)</f>
        <v>0</v>
      </c>
      <c r="F282">
        <f t="shared" si="115"/>
        <v>73.333333333333329</v>
      </c>
      <c r="G282" s="15"/>
      <c r="H282" s="41" t="str">
        <f t="shared" si="116"/>
        <v/>
      </c>
      <c r="I282" s="73" t="str">
        <f>IF(H282="","",IF($I$8="A",(RANK(H282,H$11:H$333,1)+COUNTIF(H$11:H282,H282)-1),(RANK(H282,H$11:H$333)+COUNTIF(H$11:H282,H282)-1)))</f>
        <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f>IF(I$8="A",(RANK(AG282,AG$11:AG$333,1)+COUNTIF(AG$11:AG282,AG282)-1),(RANK(AG282,AG$11:AG$333)+COUNTIF(AG$11:AG282,AG282)-1))</f>
        <v>271</v>
      </c>
      <c r="AF282" t="str">
        <f>VLOOKUP(Profile!$J$5,Families!$C:$R,2,FALSE)</f>
        <v>Cheshire West &amp; Chester</v>
      </c>
      <c r="AG282" s="15">
        <f t="shared" si="124"/>
        <v>100</v>
      </c>
      <c r="AH282" s="46">
        <f t="shared" si="112"/>
        <v>271</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73.333333333333329</v>
      </c>
    </row>
    <row r="283" spans="1:50">
      <c r="A283" s="55" t="str">
        <f>$D$1&amp;273</f>
        <v>UA273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t="str">
        <f t="shared" si="116"/>
        <v/>
      </c>
      <c r="I283" s="73" t="str">
        <f>IF(H283="","",IF($I$8="A",(RANK(H283,H$11:H$333,1)+COUNTIF(H$11:H283,H283)-1),(RANK(H283,H$11:H$333)+COUNTIF(H$11:H283,H283)-1)))</f>
        <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f>IF(I$8="A",(RANK(AG283,AG$11:AG$333,1)+COUNTIF(AG$11:AG283,AG283)-1),(RANK(AG283,AG$11:AG$333)+COUNTIF(AG$11:AG283,AG283)-1))</f>
        <v>272</v>
      </c>
      <c r="AF283" t="str">
        <f>VLOOKUP(Profile!$J$5,Families!$C:$R,2,FALSE)</f>
        <v>Cheshire West &amp; Chester</v>
      </c>
      <c r="AG283" s="15">
        <f t="shared" si="124"/>
        <v>100</v>
      </c>
      <c r="AH283" s="46">
        <f t="shared" si="112"/>
        <v>272</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UA274</v>
      </c>
      <c r="B284" s="56">
        <f>IF(ISERROR(VLOOKUP(A284,classifications!A:C,3,FALSE)),0,VLOOKUP(A284,classifications!A:C,3,FALSE))</f>
        <v>0</v>
      </c>
      <c r="C284" t="s">
        <v>293</v>
      </c>
      <c r="D284" t="str">
        <f>VLOOKUP($C284,classifications!$C:$J,4,FALSE)</f>
        <v>UA</v>
      </c>
      <c r="E284">
        <f>VLOOKUP(C284,classifications!C:K,9,FALSE)</f>
        <v>0</v>
      </c>
      <c r="F284">
        <f t="shared" si="115"/>
        <v>100</v>
      </c>
      <c r="G284" s="15"/>
      <c r="H284" s="41">
        <f t="shared" si="116"/>
        <v>100</v>
      </c>
      <c r="I284" s="73">
        <f>IF(H284="","",IF($I$8="A",(RANK(H284,H$11:H$333,1)+COUNTIF(H$11:H284,H284)-1),(RANK(H284,H$11:H$333)+COUNTIF(H$11:H284,H284)-1)))</f>
        <v>22</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f>IF(I$8="A",(RANK(AG284,AG$11:AG$333,1)+COUNTIF(AG$11:AG284,AG284)-1),(RANK(AG284,AG$11:AG$333)+COUNTIF(AG$11:AG284,AG284)-1))</f>
        <v>273</v>
      </c>
      <c r="AF284" t="str">
        <f>VLOOKUP(Profile!$J$5,Families!$C:$R,2,FALSE)</f>
        <v>Cheshire West &amp; Chester</v>
      </c>
      <c r="AG284" s="15">
        <f t="shared" si="124"/>
        <v>100</v>
      </c>
      <c r="AH284" s="46">
        <f t="shared" si="112"/>
        <v>273</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100</v>
      </c>
    </row>
    <row r="285" spans="1:50">
      <c r="A285" s="55" t="str">
        <f>$D$1&amp;275</f>
        <v>UA275</v>
      </c>
      <c r="B285" s="56">
        <f>IF(ISERROR(VLOOKUP(A285,classifications!A:C,3,FALSE)),0,VLOOKUP(A285,classifications!A:C,3,FALSE))</f>
        <v>0</v>
      </c>
      <c r="C285" t="s">
        <v>349</v>
      </c>
      <c r="D285" t="str">
        <f>VLOOKUP($C285,classifications!$C:$J,4,FALSE)</f>
        <v>SD</v>
      </c>
      <c r="E285">
        <f>VLOOKUP(C285,classifications!C:K,9,FALSE)</f>
        <v>0</v>
      </c>
      <c r="F285">
        <f t="shared" si="115"/>
        <v>80</v>
      </c>
      <c r="G285" s="15"/>
      <c r="H285" s="41" t="str">
        <f t="shared" si="116"/>
        <v/>
      </c>
      <c r="I285" s="73" t="str">
        <f>IF(H285="","",IF($I$8="A",(RANK(H285,H$11:H$333,1)+COUNTIF(H$11:H285,H285)-1),(RANK(H285,H$11:H$333)+COUNTIF(H$11:H285,H285)-1)))</f>
        <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f>IF(I$8="A",(RANK(AG285,AG$11:AG$333,1)+COUNTIF(AG$11:AG285,AG285)-1),(RANK(AG285,AG$11:AG$333)+COUNTIF(AG$11:AG285,AG285)-1))</f>
        <v>274</v>
      </c>
      <c r="AF285" t="str">
        <f>VLOOKUP(Profile!$J$5,Families!$C:$R,2,FALSE)</f>
        <v>Cheshire West &amp; Chester</v>
      </c>
      <c r="AG285" s="15">
        <f t="shared" si="124"/>
        <v>100</v>
      </c>
      <c r="AH285" s="46">
        <f t="shared" si="112"/>
        <v>274</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80</v>
      </c>
    </row>
    <row r="286" spans="1:50">
      <c r="A286" s="55" t="str">
        <f>$D$1&amp;276</f>
        <v>UA276</v>
      </c>
      <c r="B286" s="56">
        <f>IF(ISERROR(VLOOKUP(A286,classifications!A:C,3,FALSE)),0,VLOOKUP(A286,classifications!A:C,3,FALSE))</f>
        <v>0</v>
      </c>
      <c r="C286" t="s">
        <v>294</v>
      </c>
      <c r="D286" t="str">
        <f>VLOOKUP($C286,classifications!$C:$J,4,FALSE)</f>
        <v>UA</v>
      </c>
      <c r="E286">
        <f>VLOOKUP(C286,classifications!C:K,9,FALSE)</f>
        <v>0</v>
      </c>
      <c r="F286">
        <f t="shared" si="115"/>
        <v>66.666666666666657</v>
      </c>
      <c r="G286" s="15"/>
      <c r="H286" s="41">
        <f t="shared" si="116"/>
        <v>66.666666666666657</v>
      </c>
      <c r="I286" s="73">
        <f>IF(H286="","",IF($I$8="A",(RANK(H286,H$11:H$333,1)+COUNTIF(H$11:H286,H286)-1),(RANK(H286,H$11:H$333)+COUNTIF(H$11:H286,H286)-1)))</f>
        <v>60</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f>IF(I$8="A",(RANK(AG286,AG$11:AG$333,1)+COUNTIF(AG$11:AG286,AG286)-1),(RANK(AG286,AG$11:AG$333)+COUNTIF(AG$11:AG286,AG286)-1))</f>
        <v>275</v>
      </c>
      <c r="AF286" t="str">
        <f>VLOOKUP(Profile!$J$5,Families!$C:$R,2,FALSE)</f>
        <v>Cheshire West &amp; Chester</v>
      </c>
      <c r="AG286" s="15">
        <f t="shared" si="124"/>
        <v>100</v>
      </c>
      <c r="AH286" s="46">
        <f t="shared" si="112"/>
        <v>275</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66.666666666666657</v>
      </c>
    </row>
    <row r="287" spans="1:50">
      <c r="A287" s="55" t="str">
        <f>$D$1&amp;277</f>
        <v>UA277</v>
      </c>
      <c r="B287" s="56">
        <f>IF(ISERROR(VLOOKUP(A287,classifications!A:C,3,FALSE)),0,VLOOKUP(A287,classifications!A:C,3,FALSE))</f>
        <v>0</v>
      </c>
      <c r="C287" t="s">
        <v>170</v>
      </c>
      <c r="D287" t="str">
        <f>VLOOKUP($C287,classifications!$C:$J,4,FALSE)</f>
        <v>SD</v>
      </c>
      <c r="E287" t="str">
        <f>VLOOKUP(C287,classifications!C:K,9,FALSE)</f>
        <v>Sparse</v>
      </c>
      <c r="F287">
        <f t="shared" si="115"/>
        <v>100</v>
      </c>
      <c r="G287" s="15"/>
      <c r="H287" s="41" t="str">
        <f t="shared" si="116"/>
        <v/>
      </c>
      <c r="I287" s="73" t="str">
        <f>IF(H287="","",IF($I$8="A",(RANK(H287,H$11:H$333,1)+COUNTIF(H$11:H287,H287)-1),(RANK(H287,H$11:H$333)+COUNTIF(H$11:H287,H287)-1)))</f>
        <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f>IF(I$8="A",(RANK(AG287,AG$11:AG$333,1)+COUNTIF(AG$11:AG287,AG287)-1),(RANK(AG287,AG$11:AG$333)+COUNTIF(AG$11:AG287,AG287)-1))</f>
        <v>276</v>
      </c>
      <c r="AF287" t="str">
        <f>VLOOKUP(Profile!$J$5,Families!$C:$R,2,FALSE)</f>
        <v>Cheshire West &amp; Chester</v>
      </c>
      <c r="AG287" s="15">
        <f t="shared" si="124"/>
        <v>100</v>
      </c>
      <c r="AH287" s="46">
        <f t="shared" si="112"/>
        <v>276</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100</v>
      </c>
    </row>
    <row r="288" spans="1:50">
      <c r="A288" s="55" t="str">
        <f>$D$1&amp;278</f>
        <v>UA278</v>
      </c>
      <c r="B288" s="56">
        <f>IF(ISERROR(VLOOKUP(A288,classifications!A:C,3,FALSE)),0,VLOOKUP(A288,classifications!A:C,3,FALSE))</f>
        <v>0</v>
      </c>
      <c r="C288" t="s">
        <v>219</v>
      </c>
      <c r="D288" t="str">
        <f>VLOOKUP($C288,classifications!$C:$J,4,FALSE)</f>
        <v>L</v>
      </c>
      <c r="E288">
        <f>VLOOKUP(C288,classifications!C:K,9,FALSE)</f>
        <v>0</v>
      </c>
      <c r="F288">
        <f t="shared" si="115"/>
        <v>87.5</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f>IF(I$8="A",(RANK(AG288,AG$11:AG$333,1)+COUNTIF(AG$11:AG288,AG288)-1),(RANK(AG288,AG$11:AG$333)+COUNTIF(AG$11:AG288,AG288)-1))</f>
        <v>277</v>
      </c>
      <c r="AF288" t="str">
        <f>VLOOKUP(Profile!$J$5,Families!$C:$R,2,FALSE)</f>
        <v>Cheshire West &amp; Chester</v>
      </c>
      <c r="AG288" s="15">
        <f t="shared" si="124"/>
        <v>100</v>
      </c>
      <c r="AH288" s="46">
        <f t="shared" si="112"/>
        <v>277</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87.5</v>
      </c>
    </row>
    <row r="289" spans="1:50">
      <c r="A289" s="55" t="str">
        <f>$D$1&amp;279</f>
        <v>UA279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f>IF(I$8="A",(RANK(AG289,AG$11:AG$333,1)+COUNTIF(AG$11:AG289,AG289)-1),(RANK(AG289,AG$11:AG$333)+COUNTIF(AG$11:AG289,AG289)-1))</f>
        <v>278</v>
      </c>
      <c r="AF289" t="str">
        <f>VLOOKUP(Profile!$J$5,Families!$C:$R,2,FALSE)</f>
        <v>Cheshire West &amp; Chester</v>
      </c>
      <c r="AG289" s="15">
        <f t="shared" si="124"/>
        <v>100</v>
      </c>
      <c r="AH289" s="46">
        <f t="shared" si="112"/>
        <v>278</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UA280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t="str">
        <f t="shared" si="116"/>
        <v/>
      </c>
      <c r="I290" s="73" t="str">
        <f>IF(H290="","",IF($I$8="A",(RANK(H290,H$11:H$333,1)+COUNTIF(H$11:H290,H290)-1),(RANK(H290,H$11:H$333)+COUNTIF(H$11:H290,H290)-1)))</f>
        <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f>IF(I$8="A",(RANK(AG290,AG$11:AG$333,1)+COUNTIF(AG$11:AG290,AG290)-1),(RANK(AG290,AG$11:AG$333)+COUNTIF(AG$11:AG290,AG290)-1))</f>
        <v>279</v>
      </c>
      <c r="AF290" t="str">
        <f>VLOOKUP(Profile!$J$5,Families!$C:$R,2,FALSE)</f>
        <v>Cheshire West &amp; Chester</v>
      </c>
      <c r="AG290" s="15">
        <f t="shared" si="124"/>
        <v>100</v>
      </c>
      <c r="AH290" s="46">
        <f t="shared" si="112"/>
        <v>279</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UA281</v>
      </c>
      <c r="B291" s="56">
        <f>IF(ISERROR(VLOOKUP(A291,classifications!A:C,3,FALSE)),0,VLOOKUP(A291,classifications!A:C,3,FALSE))</f>
        <v>0</v>
      </c>
      <c r="C291" t="s">
        <v>172</v>
      </c>
      <c r="D291" t="str">
        <f>VLOOKUP($C291,classifications!$C:$J,4,FALSE)</f>
        <v>SD</v>
      </c>
      <c r="E291" t="str">
        <f>VLOOKUP(C291,classifications!C:K,9,FALSE)</f>
        <v>Sparse</v>
      </c>
      <c r="F291">
        <f t="shared" si="115"/>
        <v>100</v>
      </c>
      <c r="G291" s="15"/>
      <c r="H291" s="41" t="str">
        <f t="shared" si="116"/>
        <v/>
      </c>
      <c r="I291" s="73" t="str">
        <f>IF(H291="","",IF($I$8="A",(RANK(H291,H$11:H$333,1)+COUNTIF(H$11:H291,H291)-1),(RANK(H291,H$11:H$333)+COUNTIF(H$11:H291,H291)-1)))</f>
        <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f>IF(I$8="A",(RANK(AG291,AG$11:AG$333,1)+COUNTIF(AG$11:AG291,AG291)-1),(RANK(AG291,AG$11:AG$333)+COUNTIF(AG$11:AG291,AG291)-1))</f>
        <v>280</v>
      </c>
      <c r="AF291" t="str">
        <f>VLOOKUP(Profile!$J$5,Families!$C:$R,2,FALSE)</f>
        <v>Cheshire West &amp; Chester</v>
      </c>
      <c r="AG291" s="15">
        <f t="shared" si="124"/>
        <v>100</v>
      </c>
      <c r="AH291" s="46">
        <f t="shared" si="112"/>
        <v>280</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100</v>
      </c>
    </row>
    <row r="292" spans="1:50">
      <c r="A292" s="55" t="str">
        <f>$D$1&amp;282</f>
        <v>UA282</v>
      </c>
      <c r="B292" s="56">
        <f>IF(ISERROR(VLOOKUP(A292,classifications!A:C,3,FALSE)),0,VLOOKUP(A292,classifications!A:C,3,FALSE))</f>
        <v>0</v>
      </c>
      <c r="C292" t="s">
        <v>173</v>
      </c>
      <c r="D292" t="str">
        <f>VLOOKUP($C292,classifications!$C:$J,4,FALSE)</f>
        <v>SD</v>
      </c>
      <c r="E292" t="str">
        <f>VLOOKUP(C292,classifications!C:K,9,FALSE)</f>
        <v>Sparse</v>
      </c>
      <c r="F292">
        <f t="shared" si="115"/>
        <v>87.5</v>
      </c>
      <c r="G292" s="15"/>
      <c r="H292" s="41" t="str">
        <f t="shared" si="116"/>
        <v/>
      </c>
      <c r="I292" s="73" t="str">
        <f>IF(H292="","",IF($I$8="A",(RANK(H292,H$11:H$333,1)+COUNTIF(H$11:H292,H292)-1),(RANK(H292,H$11:H$333)+COUNTIF(H$11:H292,H292)-1)))</f>
        <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f>IF(I$8="A",(RANK(AG292,AG$11:AG$333,1)+COUNTIF(AG$11:AG292,AG292)-1),(RANK(AG292,AG$11:AG$333)+COUNTIF(AG$11:AG292,AG292)-1))</f>
        <v>281</v>
      </c>
      <c r="AF292" t="str">
        <f>VLOOKUP(Profile!$J$5,Families!$C:$R,2,FALSE)</f>
        <v>Cheshire West &amp; Chester</v>
      </c>
      <c r="AG292" s="15">
        <f t="shared" si="124"/>
        <v>100</v>
      </c>
      <c r="AH292" s="46">
        <f t="shared" si="112"/>
        <v>281</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87.5</v>
      </c>
    </row>
    <row r="293" spans="1:50">
      <c r="A293" s="55" t="str">
        <f>$D$1&amp;283</f>
        <v>UA283</v>
      </c>
      <c r="B293" s="56">
        <f>IF(ISERROR(VLOOKUP(A293,classifications!A:C,3,FALSE)),0,VLOOKUP(A293,classifications!A:C,3,FALSE))</f>
        <v>0</v>
      </c>
      <c r="C293" t="s">
        <v>253</v>
      </c>
      <c r="D293" t="str">
        <f>VLOOKUP($C293,classifications!$C:$J,4,FALSE)</f>
        <v>MD</v>
      </c>
      <c r="E293">
        <f>VLOOKUP(C293,classifications!C:K,9,FALSE)</f>
        <v>0</v>
      </c>
      <c r="F293">
        <f t="shared" si="115"/>
        <v>78.571428571428569</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f>IF(I$8="A",(RANK(AG293,AG$11:AG$333,1)+COUNTIF(AG$11:AG293,AG293)-1),(RANK(AG293,AG$11:AG$333)+COUNTIF(AG$11:AG293,AG293)-1))</f>
        <v>282</v>
      </c>
      <c r="AF293" t="str">
        <f>VLOOKUP(Profile!$J$5,Families!$C:$R,2,FALSE)</f>
        <v>Cheshire West &amp; Chester</v>
      </c>
      <c r="AG293" s="15">
        <f t="shared" si="124"/>
        <v>100</v>
      </c>
      <c r="AH293" s="46">
        <f t="shared" si="112"/>
        <v>282</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78.571428571428569</v>
      </c>
    </row>
    <row r="294" spans="1:50">
      <c r="A294" s="55" t="str">
        <f>$D$1&amp;284</f>
        <v>UA284</v>
      </c>
      <c r="B294" s="56">
        <f>IF(ISERROR(VLOOKUP(A294,classifications!A:C,3,FALSE)),0,VLOOKUP(A294,classifications!A:C,3,FALSE))</f>
        <v>0</v>
      </c>
      <c r="C294" t="s">
        <v>254</v>
      </c>
      <c r="D294" t="str">
        <f>VLOOKUP($C294,classifications!$C:$J,4,FALSE)</f>
        <v>MD</v>
      </c>
      <c r="E294">
        <f>VLOOKUP(C294,classifications!C:K,9,FALSE)</f>
        <v>0</v>
      </c>
      <c r="F294">
        <f t="shared" si="115"/>
        <v>76.923076923076934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f>IF(I$8="A",(RANK(AG294,AG$11:AG$333,1)+COUNTIF(AG$11:AG294,AG294)-1),(RANK(AG294,AG$11:AG$333)+COUNTIF(AG$11:AG294,AG294)-1))</f>
        <v>283</v>
      </c>
      <c r="AF294" t="str">
        <f>VLOOKUP(Profile!$J$5,Families!$C:$R,2,FALSE)</f>
        <v>Cheshire West &amp; Chester</v>
      </c>
      <c r="AG294" s="15">
        <f t="shared" si="124"/>
        <v>100</v>
      </c>
      <c r="AH294" s="46">
        <f t="shared" si="112"/>
        <v>283</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76.923076923076934</v>
      </c>
    </row>
    <row r="295" spans="1:50">
      <c r="A295" s="55" t="str">
        <f>$D$1&amp;285</f>
        <v>UA285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f>IF(I$8="A",(RANK(AG295,AG$11:AG$333,1)+COUNTIF(AG$11:AG295,AG295)-1),(RANK(AG295,AG$11:AG$333)+COUNTIF(AG$11:AG295,AG295)-1))</f>
        <v>284</v>
      </c>
      <c r="AF295" t="str">
        <f>VLOOKUP(Profile!$J$5,Families!$C:$R,2,FALSE)</f>
        <v>Cheshire West &amp; Chester</v>
      </c>
      <c r="AG295" s="15">
        <f t="shared" si="124"/>
        <v>100</v>
      </c>
      <c r="AH295" s="46">
        <f t="shared" si="112"/>
        <v>284</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UA286</v>
      </c>
      <c r="B296" s="56">
        <f>IF(ISERROR(VLOOKUP(A296,classifications!A:C,3,FALSE)),0,VLOOKUP(A296,classifications!A:C,3,FALSE))</f>
        <v>0</v>
      </c>
      <c r="C296" t="s">
        <v>221</v>
      </c>
      <c r="D296" t="str">
        <f>VLOOKUP($C296,classifications!$C:$J,4,FALSE)</f>
        <v>L</v>
      </c>
      <c r="E296">
        <f>VLOOKUP(C296,classifications!C:K,9,FALSE)</f>
        <v>0</v>
      </c>
      <c r="F296">
        <f t="shared" si="115"/>
        <v>88.888888888888886</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f>IF(I$8="A",(RANK(AG296,AG$11:AG$333,1)+COUNTIF(AG$11:AG296,AG296)-1),(RANK(AG296,AG$11:AG$333)+COUNTIF(AG$11:AG296,AG296)-1))</f>
        <v>285</v>
      </c>
      <c r="AF296" t="str">
        <f>VLOOKUP(Profile!$J$5,Families!$C:$R,2,FALSE)</f>
        <v>Cheshire West &amp; Chester</v>
      </c>
      <c r="AG296" s="15">
        <f t="shared" si="124"/>
        <v>100</v>
      </c>
      <c r="AH296" s="46">
        <f t="shared" si="112"/>
        <v>285</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88.888888888888886</v>
      </c>
    </row>
    <row r="297" spans="1:50">
      <c r="A297" s="55" t="str">
        <f>$D$1&amp;287</f>
        <v>UA287</v>
      </c>
      <c r="B297" s="56">
        <f>IF(ISERROR(VLOOKUP(A297,classifications!A:C,3,FALSE)),0,VLOOKUP(A297,classifications!A:C,3,FALSE))</f>
        <v>0</v>
      </c>
      <c r="C297" t="s">
        <v>295</v>
      </c>
      <c r="D297" t="str">
        <f>VLOOKUP($C297,classifications!$C:$J,4,FALSE)</f>
        <v>UA</v>
      </c>
      <c r="E297">
        <f>VLOOKUP(C297,classifications!C:K,9,FALSE)</f>
        <v>0</v>
      </c>
      <c r="F297">
        <f t="shared" si="115"/>
        <v>62.5</v>
      </c>
      <c r="G297" s="15"/>
      <c r="H297" s="41">
        <f t="shared" si="116"/>
        <v>62.5</v>
      </c>
      <c r="I297" s="73">
        <f>IF(H297="","",IF($I$8="A",(RANK(H297,H$11:H$333,1)+COUNTIF(H$11:H297,H297)-1),(RANK(H297,H$11:H$333)+COUNTIF(H$11:H297,H297)-1)))</f>
        <v>61</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f>IF(I$8="A",(RANK(AG297,AG$11:AG$333,1)+COUNTIF(AG$11:AG297,AG297)-1),(RANK(AG297,AG$11:AG$333)+COUNTIF(AG$11:AG297,AG297)-1))</f>
        <v>286</v>
      </c>
      <c r="AF297" t="str">
        <f>VLOOKUP(Profile!$J$5,Families!$C:$R,2,FALSE)</f>
        <v>Cheshire West &amp; Chester</v>
      </c>
      <c r="AG297" s="15">
        <f t="shared" si="124"/>
        <v>100</v>
      </c>
      <c r="AH297" s="46">
        <f t="shared" si="112"/>
        <v>286</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62.5</v>
      </c>
    </row>
    <row r="298" spans="1:50">
      <c r="A298" s="55" t="str">
        <f>$D$1&amp;288</f>
        <v>UA288</v>
      </c>
      <c r="B298" s="56">
        <f>IF(ISERROR(VLOOKUP(A298,classifications!A:C,3,FALSE)),0,VLOOKUP(A298,classifications!A:C,3,FALSE))</f>
        <v>0</v>
      </c>
      <c r="C298" t="s">
        <v>174</v>
      </c>
      <c r="D298" t="str">
        <f>VLOOKUP($C298,classifications!$C:$J,4,FALSE)</f>
        <v>SD</v>
      </c>
      <c r="E298">
        <f>VLOOKUP(C298,classifications!C:K,9,FALSE)</f>
        <v>0</v>
      </c>
      <c r="F298">
        <f t="shared" si="115"/>
        <v>88.888888888888886</v>
      </c>
      <c r="G298" s="15"/>
      <c r="H298" s="41" t="str">
        <f t="shared" si="116"/>
        <v/>
      </c>
      <c r="I298" s="73" t="str">
        <f>IF(H298="","",IF($I$8="A",(RANK(H298,H$11:H$333,1)+COUNTIF(H$11:H298,H298)-1),(RANK(H298,H$11:H$333)+COUNTIF(H$11:H298,H298)-1)))</f>
        <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f>IF(I$8="A",(RANK(AG298,AG$11:AG$333,1)+COUNTIF(AG$11:AG298,AG298)-1),(RANK(AG298,AG$11:AG$333)+COUNTIF(AG$11:AG298,AG298)-1))</f>
        <v>287</v>
      </c>
      <c r="AF298" t="str">
        <f>VLOOKUP(Profile!$J$5,Families!$C:$R,2,FALSE)</f>
        <v>Cheshire West &amp; Chester</v>
      </c>
      <c r="AG298" s="15">
        <f t="shared" si="124"/>
        <v>100</v>
      </c>
      <c r="AH298" s="46">
        <f t="shared" si="112"/>
        <v>287</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88.888888888888886</v>
      </c>
    </row>
    <row r="299" spans="1:50">
      <c r="A299" s="55" t="str">
        <f>$D$1&amp;289</f>
        <v>UA289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f>IF(I$8="A",(RANK(AG299,AG$11:AG$333,1)+COUNTIF(AG$11:AG299,AG299)-1),(RANK(AG299,AG$11:AG$333)+COUNTIF(AG$11:AG299,AG299)-1))</f>
        <v>288</v>
      </c>
      <c r="AF299" t="str">
        <f>VLOOKUP(Profile!$J$5,Families!$C:$R,2,FALSE)</f>
        <v>Cheshire West &amp; Chester</v>
      </c>
      <c r="AG299" s="15">
        <f t="shared" si="124"/>
        <v>100</v>
      </c>
      <c r="AH299" s="46">
        <f t="shared" si="112"/>
        <v>288</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UA290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t="str">
        <f t="shared" si="116"/>
        <v/>
      </c>
      <c r="I300" s="73" t="str">
        <f>IF(H300="","",IF($I$8="A",(RANK(H300,H$11:H$333,1)+COUNTIF(H$11:H300,H300)-1),(RANK(H300,H$11:H$333)+COUNTIF(H$11:H300,H300)-1)))</f>
        <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f>IF(I$8="A",(RANK(AG300,AG$11:AG$333,1)+COUNTIF(AG$11:AG300,AG300)-1),(RANK(AG300,AG$11:AG$333)+COUNTIF(AG$11:AG300,AG300)-1))</f>
        <v>289</v>
      </c>
      <c r="AF300" t="str">
        <f>VLOOKUP(Profile!$J$5,Families!$C:$R,2,FALSE)</f>
        <v>Cheshire West &amp; Chester</v>
      </c>
      <c r="AG300" s="15">
        <f t="shared" si="124"/>
        <v>100</v>
      </c>
      <c r="AH300" s="46">
        <f t="shared" si="112"/>
        <v>289</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UA291</v>
      </c>
      <c r="B301" s="56">
        <f>IF(ISERROR(VLOOKUP(A301,classifications!A:C,3,FALSE)),0,VLOOKUP(A301,classifications!A:C,3,FALSE))</f>
        <v>0</v>
      </c>
      <c r="C301" t="s">
        <v>177</v>
      </c>
      <c r="D301" t="str">
        <f>VLOOKUP($C301,classifications!$C:$J,4,FALSE)</f>
        <v>SD</v>
      </c>
      <c r="E301">
        <f>VLOOKUP(C301,classifications!C:K,9,FALSE)</f>
        <v>0</v>
      </c>
      <c r="F301">
        <f t="shared" si="115"/>
        <v>100</v>
      </c>
      <c r="G301" s="15"/>
      <c r="H301" s="41" t="str">
        <f t="shared" si="116"/>
        <v/>
      </c>
      <c r="I301" s="73" t="str">
        <f>IF(H301="","",IF($I$8="A",(RANK(H301,H$11:H$333,1)+COUNTIF(H$11:H301,H301)-1),(RANK(H301,H$11:H$333)+COUNTIF(H$11:H301,H301)-1)))</f>
        <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f>IF(I$8="A",(RANK(AG301,AG$11:AG$333,1)+COUNTIF(AG$11:AG301,AG301)-1),(RANK(AG301,AG$11:AG$333)+COUNTIF(AG$11:AG301,AG301)-1))</f>
        <v>290</v>
      </c>
      <c r="AF301" t="str">
        <f>VLOOKUP(Profile!$J$5,Families!$C:$R,2,FALSE)</f>
        <v>Cheshire West &amp; Chester</v>
      </c>
      <c r="AG301" s="15">
        <f t="shared" si="124"/>
        <v>100</v>
      </c>
      <c r="AH301" s="46">
        <f t="shared" si="112"/>
        <v>290</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100</v>
      </c>
    </row>
    <row r="302" spans="1:50">
      <c r="A302" s="55" t="str">
        <f>$D$1&amp;292</f>
        <v>UA292</v>
      </c>
      <c r="B302" s="56">
        <f>IF(ISERROR(VLOOKUP(A302,classifications!A:C,3,FALSE)),0,VLOOKUP(A302,classifications!A:C,3,FALSE))</f>
        <v>0</v>
      </c>
      <c r="C302" t="s">
        <v>178</v>
      </c>
      <c r="D302" t="str">
        <f>VLOOKUP($C302,classifications!$C:$J,4,FALSE)</f>
        <v>SD</v>
      </c>
      <c r="E302" t="str">
        <f>VLOOKUP(C302,classifications!C:K,9,FALSE)</f>
        <v>Sparse</v>
      </c>
      <c r="F302">
        <f t="shared" si="115"/>
        <v>95</v>
      </c>
      <c r="G302" s="15"/>
      <c r="H302" s="41" t="str">
        <f t="shared" si="116"/>
        <v/>
      </c>
      <c r="I302" s="73" t="str">
        <f>IF(H302="","",IF($I$8="A",(RANK(H302,H$11:H$333,1)+COUNTIF(H$11:H302,H302)-1),(RANK(H302,H$11:H$333)+COUNTIF(H$11:H302,H302)-1)))</f>
        <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f>IF(I$8="A",(RANK(AG302,AG$11:AG$333,1)+COUNTIF(AG$11:AG302,AG302)-1),(RANK(AG302,AG$11:AG$333)+COUNTIF(AG$11:AG302,AG302)-1))</f>
        <v>291</v>
      </c>
      <c r="AF302" t="str">
        <f>VLOOKUP(Profile!$J$5,Families!$C:$R,2,FALSE)</f>
        <v>Cheshire West &amp; Chester</v>
      </c>
      <c r="AG302" s="15">
        <f t="shared" si="124"/>
        <v>100</v>
      </c>
      <c r="AH302" s="46">
        <f t="shared" si="112"/>
        <v>291</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95</v>
      </c>
    </row>
    <row r="303" spans="1:50">
      <c r="A303" s="55" t="str">
        <f>$D$1&amp;293</f>
        <v>UA293</v>
      </c>
      <c r="B303" s="56">
        <f>IF(ISERROR(VLOOKUP(A303,classifications!A:C,3,FALSE)),0,VLOOKUP(A303,classifications!A:C,3,FALSE))</f>
        <v>0</v>
      </c>
      <c r="C303" t="s">
        <v>180</v>
      </c>
      <c r="D303" t="str">
        <f>VLOOKUP($C303,classifications!$C:$J,4,FALSE)</f>
        <v>SD</v>
      </c>
      <c r="E303">
        <f>VLOOKUP(C303,classifications!C:K,9,FALSE)</f>
        <v>0</v>
      </c>
      <c r="F303">
        <f t="shared" si="115"/>
        <v>0</v>
      </c>
      <c r="G303" s="15"/>
      <c r="H303" s="41" t="str">
        <f t="shared" si="116"/>
        <v/>
      </c>
      <c r="I303" s="73" t="str">
        <f>IF(H303="","",IF($I$8="A",(RANK(H303,H$11:H$333,1)+COUNTIF(H$11:H303,H303)-1),(RANK(H303,H$11:H$333)+COUNTIF(H$11:H303,H303)-1)))</f>
        <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f>IF(I$8="A",(RANK(AG303,AG$11:AG$333,1)+COUNTIF(AG$11:AG303,AG303)-1),(RANK(AG303,AG$11:AG$333)+COUNTIF(AG$11:AG303,AG303)-1))</f>
        <v>292</v>
      </c>
      <c r="AF303" t="str">
        <f>VLOOKUP(Profile!$J$5,Families!$C:$R,2,FALSE)</f>
        <v>Cheshire West &amp; Chester</v>
      </c>
      <c r="AG303" s="15">
        <f t="shared" si="124"/>
        <v>100</v>
      </c>
      <c r="AH303" s="46">
        <f t="shared" si="112"/>
        <v>292</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0</v>
      </c>
    </row>
    <row r="304" spans="1:50">
      <c r="A304" s="55" t="str">
        <f>$D$1&amp;294</f>
        <v>UA294</v>
      </c>
      <c r="B304" s="56">
        <f>IF(ISERROR(VLOOKUP(A304,classifications!A:C,3,FALSE)),0,VLOOKUP(A304,classifications!A:C,3,FALSE))</f>
        <v>0</v>
      </c>
      <c r="C304" t="s">
        <v>296</v>
      </c>
      <c r="D304" t="str">
        <f>VLOOKUP($C304,classifications!$C:$J,4,FALSE)</f>
        <v>UA</v>
      </c>
      <c r="E304">
        <f>VLOOKUP(C304,classifications!C:K,9,FALSE)</f>
        <v>0</v>
      </c>
      <c r="F304">
        <f t="shared" si="115"/>
        <v>75</v>
      </c>
      <c r="G304" s="15"/>
      <c r="H304" s="41">
        <f t="shared" si="116"/>
        <v>75</v>
      </c>
      <c r="I304" s="73">
        <f>IF(H304="","",IF($I$8="A",(RANK(H304,H$11:H$333,1)+COUNTIF(H$11:H304,H304)-1),(RANK(H304,H$11:H$333)+COUNTIF(H$11:H304,H304)-1)))</f>
        <v>56</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f>IF(I$8="A",(RANK(AG304,AG$11:AG$333,1)+COUNTIF(AG$11:AG304,AG304)-1),(RANK(AG304,AG$11:AG$333)+COUNTIF(AG$11:AG304,AG304)-1))</f>
        <v>293</v>
      </c>
      <c r="AF304" t="str">
        <f>VLOOKUP(Profile!$J$5,Families!$C:$R,2,FALSE)</f>
        <v>Cheshire West &amp; Chester</v>
      </c>
      <c r="AG304" s="15">
        <f t="shared" si="124"/>
        <v>100</v>
      </c>
      <c r="AH304" s="46">
        <f t="shared" si="112"/>
        <v>293</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75</v>
      </c>
    </row>
    <row r="305" spans="1:50">
      <c r="A305" s="55" t="str">
        <f>$D$1&amp;295</f>
        <v>UA295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t="str">
        <f t="shared" si="116"/>
        <v/>
      </c>
      <c r="I305" s="73" t="str">
        <f>IF(H305="","",IF($I$8="A",(RANK(H305,H$11:H$333,1)+COUNTIF(H$11:H305,H305)-1),(RANK(H305,H$11:H$333)+COUNTIF(H$11:H305,H305)-1)))</f>
        <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f>IF(I$8="A",(RANK(AG305,AG$11:AG$333,1)+COUNTIF(AG$11:AG305,AG305)-1),(RANK(AG305,AG$11:AG$333)+COUNTIF(AG$11:AG305,AG305)-1))</f>
        <v>294</v>
      </c>
      <c r="AF305" t="str">
        <f>VLOOKUP(Profile!$J$5,Families!$C:$R,2,FALSE)</f>
        <v>Cheshire West &amp; Chester</v>
      </c>
      <c r="AG305" s="15">
        <f t="shared" si="124"/>
        <v>100</v>
      </c>
      <c r="AH305" s="46">
        <f t="shared" si="112"/>
        <v>294</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UA296</v>
      </c>
      <c r="B306" s="56">
        <f>IF(ISERROR(VLOOKUP(A306,classifications!A:C,3,FALSE)),0,VLOOKUP(A306,classifications!A:C,3,FALSE))</f>
        <v>0</v>
      </c>
      <c r="C306" t="s">
        <v>183</v>
      </c>
      <c r="D306" t="str">
        <f>VLOOKUP($C306,classifications!$C:$J,4,FALSE)</f>
        <v>SD</v>
      </c>
      <c r="E306">
        <f>VLOOKUP(C306,classifications!C:K,9,FALSE)</f>
        <v>0</v>
      </c>
      <c r="F306">
        <f t="shared" si="115"/>
        <v>100</v>
      </c>
      <c r="G306" s="15"/>
      <c r="H306" s="41" t="str">
        <f t="shared" si="116"/>
        <v/>
      </c>
      <c r="I306" s="73" t="str">
        <f>IF(H306="","",IF($I$8="A",(RANK(H306,H$11:H$333,1)+COUNTIF(H$11:H306,H306)-1),(RANK(H306,H$11:H$333)+COUNTIF(H$11:H306,H306)-1)))</f>
        <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f>IF(I$8="A",(RANK(AG306,AG$11:AG$333,1)+COUNTIF(AG$11:AG306,AG306)-1),(RANK(AG306,AG$11:AG$333)+COUNTIF(AG$11:AG306,AG306)-1))</f>
        <v>295</v>
      </c>
      <c r="AF306" t="str">
        <f>VLOOKUP(Profile!$J$5,Families!$C:$R,2,FALSE)</f>
        <v>Cheshire West &amp; Chester</v>
      </c>
      <c r="AG306" s="15">
        <f t="shared" si="124"/>
        <v>100</v>
      </c>
      <c r="AH306" s="46">
        <f t="shared" si="112"/>
        <v>295</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100</v>
      </c>
    </row>
    <row r="307" spans="1:50">
      <c r="A307" s="55" t="str">
        <f>$D$1&amp;297</f>
        <v>UA297</v>
      </c>
      <c r="B307" s="56">
        <f>IF(ISERROR(VLOOKUP(A307,classifications!A:C,3,FALSE)),0,VLOOKUP(A307,classifications!A:C,3,FALSE))</f>
        <v>0</v>
      </c>
      <c r="C307" t="s">
        <v>184</v>
      </c>
      <c r="D307" t="str">
        <f>VLOOKUP($C307,classifications!$C:$J,4,FALSE)</f>
        <v>SD</v>
      </c>
      <c r="E307" t="str">
        <f>VLOOKUP(C307,classifications!C:K,9,FALSE)</f>
        <v>Sparse</v>
      </c>
      <c r="F307">
        <f t="shared" si="115"/>
        <v>93.333333333333329</v>
      </c>
      <c r="G307" s="15"/>
      <c r="H307" s="41" t="str">
        <f t="shared" si="116"/>
        <v/>
      </c>
      <c r="I307" s="73" t="str">
        <f>IF(H307="","",IF($I$8="A",(RANK(H307,H$11:H$333,1)+COUNTIF(H$11:H307,H307)-1),(RANK(H307,H$11:H$333)+COUNTIF(H$11:H307,H307)-1)))</f>
        <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f>IF(I$8="A",(RANK(AG307,AG$11:AG$333,1)+COUNTIF(AG$11:AG307,AG307)-1),(RANK(AG307,AG$11:AG$333)+COUNTIF(AG$11:AG307,AG307)-1))</f>
        <v>296</v>
      </c>
      <c r="AF307" t="str">
        <f>VLOOKUP(Profile!$J$5,Families!$C:$R,2,FALSE)</f>
        <v>Cheshire West &amp; Chester</v>
      </c>
      <c r="AG307" s="15">
        <f t="shared" si="124"/>
        <v>100</v>
      </c>
      <c r="AH307" s="46">
        <f t="shared" si="112"/>
        <v>296</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93.333333333333329</v>
      </c>
    </row>
    <row r="308" spans="1:50">
      <c r="A308" s="55" t="str">
        <f>$D$1&amp;298</f>
        <v>UA298</v>
      </c>
      <c r="B308" s="56">
        <f>IF(ISERROR(VLOOKUP(A308,classifications!A:C,3,FALSE)),0,VLOOKUP(A308,classifications!A:C,3,FALSE))</f>
        <v>0</v>
      </c>
      <c r="C308" t="s">
        <v>898</v>
      </c>
      <c r="D308" t="str">
        <f>VLOOKUP($C308,classifications!$C:$J,4,FALSE)</f>
        <v>UA</v>
      </c>
      <c r="E308" t="str">
        <f>VLOOKUP(C308,classifications!C:K,9,FALSE)</f>
        <v>Sparse</v>
      </c>
      <c r="F308">
        <f t="shared" si="115"/>
        <v>83.333333333333343</v>
      </c>
      <c r="G308" s="15"/>
      <c r="H308" s="41">
        <f t="shared" si="116"/>
        <v>83.333333333333343</v>
      </c>
      <c r="I308" s="73">
        <f>IF(H308="","",IF($I$8="A",(RANK(H308,H$11:H$333,1)+COUNTIF(H$11:H308,H308)-1),(RANK(H308,H$11:H$333)+COUNTIF(H$11:H308,H308)-1)))</f>
        <v>51</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f>IF(I$8="A",(RANK(AG308,AG$11:AG$333,1)+COUNTIF(AG$11:AG308,AG308)-1),(RANK(AG308,AG$11:AG$333)+COUNTIF(AG$11:AG308,AG308)-1))</f>
        <v>297</v>
      </c>
      <c r="AF308" t="str">
        <f>VLOOKUP(Profile!$J$5,Families!$C:$R,2,FALSE)</f>
        <v>Cheshire West &amp; Chester</v>
      </c>
      <c r="AG308" s="15">
        <f t="shared" si="124"/>
        <v>100</v>
      </c>
      <c r="AH308" s="46">
        <f t="shared" si="112"/>
        <v>297</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83.333333333333343</v>
      </c>
    </row>
    <row r="309" spans="1:50">
      <c r="A309" s="55" t="str">
        <f>$D$1&amp;299</f>
        <v>UA299</v>
      </c>
      <c r="B309" s="56">
        <f>IF(ISERROR(VLOOKUP(A309,classifications!A:C,3,FALSE)),0,VLOOKUP(A309,classifications!A:C,3,FALSE))</f>
        <v>0</v>
      </c>
      <c r="C309" t="s">
        <v>185</v>
      </c>
      <c r="D309" t="str">
        <f>VLOOKUP($C309,classifications!$C:$J,4,FALSE)</f>
        <v>SD</v>
      </c>
      <c r="E309" t="str">
        <f>VLOOKUP(C309,classifications!C:K,9,FALSE)</f>
        <v>Sparse</v>
      </c>
      <c r="F309">
        <f t="shared" si="115"/>
        <v>86.666666666666671</v>
      </c>
      <c r="G309" s="15"/>
      <c r="H309" s="41" t="str">
        <f t="shared" si="116"/>
        <v/>
      </c>
      <c r="I309" s="73" t="str">
        <f>IF(H309="","",IF($I$8="A",(RANK(H309,H$11:H$333,1)+COUNTIF(H$11:H309,H309)-1),(RANK(H309,H$11:H$333)+COUNTIF(H$11:H309,H309)-1)))</f>
        <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f>IF(I$8="A",(RANK(AG309,AG$11:AG$333,1)+COUNTIF(AG$11:AG309,AG309)-1),(RANK(AG309,AG$11:AG$333)+COUNTIF(AG$11:AG309,AG309)-1))</f>
        <v>298</v>
      </c>
      <c r="AF309" t="str">
        <f>VLOOKUP(Profile!$J$5,Families!$C:$R,2,FALSE)</f>
        <v>Cheshire West &amp; Chester</v>
      </c>
      <c r="AG309" s="15">
        <f t="shared" si="124"/>
        <v>100</v>
      </c>
      <c r="AH309" s="46">
        <f t="shared" si="112"/>
        <v>298</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86.666666666666671</v>
      </c>
    </row>
    <row r="310" spans="1:50">
      <c r="A310" s="55" t="str">
        <f>$D$1&amp;300</f>
        <v>UA300</v>
      </c>
      <c r="B310" s="56">
        <f>IF(ISERROR(VLOOKUP(A310,classifications!A:C,3,FALSE)),0,VLOOKUP(A310,classifications!A:C,3,FALSE))</f>
        <v>0</v>
      </c>
      <c r="C310" t="s">
        <v>895</v>
      </c>
      <c r="D310" t="str">
        <f>VLOOKUP($C310,classifications!$C:$J,4,FALSE)</f>
        <v>SD</v>
      </c>
      <c r="E310" t="str">
        <f>VLOOKUP(C310,classifications!C:K,9,FALSE)</f>
        <v>Sparse</v>
      </c>
      <c r="F310">
        <f t="shared" si="115"/>
        <v>90.909090909090907</v>
      </c>
      <c r="G310" s="15"/>
      <c r="H310" s="41" t="str">
        <f t="shared" si="116"/>
        <v/>
      </c>
      <c r="I310" s="73" t="str">
        <f>IF(H310="","",IF($I$8="A",(RANK(H310,H$11:H$333,1)+COUNTIF(H$11:H310,H310)-1),(RANK(H310,H$11:H$333)+COUNTIF(H$11:H310,H310)-1)))</f>
        <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f>IF(I$8="A",(RANK(AG310,AG$11:AG$333,1)+COUNTIF(AG$11:AG310,AG310)-1),(RANK(AG310,AG$11:AG$333)+COUNTIF(AG$11:AG310,AG310)-1))</f>
        <v>299</v>
      </c>
      <c r="AF310" t="str">
        <f>VLOOKUP(Profile!$J$5,Families!$C:$R,2,FALSE)</f>
        <v>Cheshire West &amp; Chester</v>
      </c>
      <c r="AG310" s="15">
        <f t="shared" si="124"/>
        <v>100</v>
      </c>
      <c r="AH310" s="46">
        <f t="shared" si="112"/>
        <v>299</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90.909090909090907</v>
      </c>
    </row>
    <row r="311" spans="1:50">
      <c r="A311" s="55" t="str">
        <f>$D$1&amp;301</f>
        <v>UA301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f>IF(I$8="A",(RANK(AG311,AG$11:AG$333,1)+COUNTIF(AG$11:AG311,AG311)-1),(RANK(AG311,AG$11:AG$333)+COUNTIF(AG$11:AG311,AG311)-1))</f>
        <v>300</v>
      </c>
      <c r="AF311" t="str">
        <f>VLOOKUP(Profile!$J$5,Families!$C:$R,2,FALSE)</f>
        <v>Cheshire West &amp; Chester</v>
      </c>
      <c r="AG311" s="15">
        <f t="shared" si="124"/>
        <v>100</v>
      </c>
      <c r="AH311" s="46">
        <f t="shared" si="112"/>
        <v>300</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UA302</v>
      </c>
      <c r="B312" s="56">
        <f>IF(ISERROR(VLOOKUP(A312,classifications!A:C,3,FALSE)),0,VLOOKUP(A312,classifications!A:C,3,FALSE))</f>
        <v>0</v>
      </c>
      <c r="C312" t="s">
        <v>187</v>
      </c>
      <c r="D312" t="str">
        <f>VLOOKUP($C312,classifications!$C:$J,4,FALSE)</f>
        <v>L</v>
      </c>
      <c r="E312">
        <f>VLOOKUP(C312,classifications!C:K,9,FALSE)</f>
        <v>0</v>
      </c>
      <c r="F312">
        <f t="shared" si="115"/>
        <v>100</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f>IF(I$8="A",(RANK(AG312,AG$11:AG$333,1)+COUNTIF(AG$11:AG312,AG312)-1),(RANK(AG312,AG$11:AG$333)+COUNTIF(AG$11:AG312,AG312)-1))</f>
        <v>301</v>
      </c>
      <c r="AF312" t="str">
        <f>VLOOKUP(Profile!$J$5,Families!$C:$R,2,FALSE)</f>
        <v>Cheshire West &amp; Chester</v>
      </c>
      <c r="AG312" s="15">
        <f t="shared" si="124"/>
        <v>100</v>
      </c>
      <c r="AH312" s="46">
        <f t="shared" si="112"/>
        <v>301</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100</v>
      </c>
    </row>
    <row r="313" spans="1:50">
      <c r="A313" s="55" t="str">
        <f>$D$1&amp;303</f>
        <v>UA303</v>
      </c>
      <c r="B313" s="56">
        <f>IF(ISERROR(VLOOKUP(A313,classifications!A:C,3,FALSE)),0,VLOOKUP(A313,classifications!A:C,3,FALSE))</f>
        <v>0</v>
      </c>
      <c r="C313" t="s">
        <v>255</v>
      </c>
      <c r="D313" t="str">
        <f>VLOOKUP($C313,classifications!$C:$J,4,FALSE)</f>
        <v>MD</v>
      </c>
      <c r="E313">
        <f>VLOOKUP(C313,classifications!C:K,9,FALSE)</f>
        <v>0</v>
      </c>
      <c r="F313">
        <f t="shared" si="115"/>
        <v>92.307692307692307</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f>IF(I$8="A",(RANK(AG313,AG$11:AG$333,1)+COUNTIF(AG$11:AG313,AG313)-1),(RANK(AG313,AG$11:AG$333)+COUNTIF(AG$11:AG313,AG313)-1))</f>
        <v>302</v>
      </c>
      <c r="AF313" t="str">
        <f>VLOOKUP(Profile!$J$5,Families!$C:$R,2,FALSE)</f>
        <v>Cheshire West &amp; Chester</v>
      </c>
      <c r="AG313" s="15">
        <f t="shared" si="124"/>
        <v>100</v>
      </c>
      <c r="AH313" s="46">
        <f t="shared" si="112"/>
        <v>302</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92.307692307692307</v>
      </c>
    </row>
    <row r="314" spans="1:50">
      <c r="A314" s="55" t="str">
        <f>$D$1&amp;304</f>
        <v>UA304</v>
      </c>
      <c r="B314" s="56">
        <f>IF(ISERROR(VLOOKUP(A314,classifications!A:C,3,FALSE)),0,VLOOKUP(A314,classifications!A:C,3,FALSE))</f>
        <v>0</v>
      </c>
      <c r="C314" t="s">
        <v>297</v>
      </c>
      <c r="D314" t="str">
        <f>VLOOKUP($C314,classifications!$C:$J,4,FALSE)</f>
        <v>UA</v>
      </c>
      <c r="E314">
        <f>VLOOKUP(C314,classifications!C:K,9,FALSE)</f>
        <v>0</v>
      </c>
      <c r="F314">
        <f t="shared" si="115"/>
        <v>96</v>
      </c>
      <c r="G314" s="15"/>
      <c r="H314" s="41">
        <f t="shared" si="116"/>
        <v>96</v>
      </c>
      <c r="I314" s="73">
        <f>IF(H314="","",IF($I$8="A",(RANK(H314,H$11:H$333,1)+COUNTIF(H$11:H314,H314)-1),(RANK(H314,H$11:H$333)+COUNTIF(H$11:H314,H314)-1)))</f>
        <v>27</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f>IF(I$8="A",(RANK(AG314,AG$11:AG$333,1)+COUNTIF(AG$11:AG314,AG314)-1),(RANK(AG314,AG$11:AG$333)+COUNTIF(AG$11:AG314,AG314)-1))</f>
        <v>303</v>
      </c>
      <c r="AF314" t="str">
        <f>VLOOKUP(Profile!$J$5,Families!$C:$R,2,FALSE)</f>
        <v>Cheshire West &amp; Chester</v>
      </c>
      <c r="AG314" s="15">
        <f t="shared" si="124"/>
        <v>100</v>
      </c>
      <c r="AH314" s="46">
        <f t="shared" ref="AH314:AH327" si="136">AE314</f>
        <v>303</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96</v>
      </c>
    </row>
    <row r="315" spans="1:50">
      <c r="A315" s="55" t="str">
        <f>$D$1&amp;305</f>
        <v>UA305</v>
      </c>
      <c r="B315" s="56">
        <f>IF(ISERROR(VLOOKUP(A315,classifications!A:C,3,FALSE)),0,VLOOKUP(A315,classifications!A:C,3,FALSE))</f>
        <v>0</v>
      </c>
      <c r="C315" t="s">
        <v>188</v>
      </c>
      <c r="D315" t="str">
        <f>VLOOKUP($C315,classifications!$C:$J,4,FALSE)</f>
        <v>SD</v>
      </c>
      <c r="E315">
        <f>VLOOKUP(C315,classifications!C:K,9,FALSE)</f>
        <v>0</v>
      </c>
      <c r="F315">
        <f t="shared" si="115"/>
        <v>71.428571428571431</v>
      </c>
      <c r="G315" s="15"/>
      <c r="H315" s="41" t="str">
        <f t="shared" si="116"/>
        <v/>
      </c>
      <c r="I315" s="73" t="str">
        <f>IF(H315="","",IF($I$8="A",(RANK(H315,H$11:H$333,1)+COUNTIF(H$11:H315,H315)-1),(RANK(H315,H$11:H$333)+COUNTIF(H$11:H315,H315)-1)))</f>
        <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f>IF(I$8="A",(RANK(AG315,AG$11:AG$333,1)+COUNTIF(AG$11:AG315,AG315)-1),(RANK(AG315,AG$11:AG$333)+COUNTIF(AG$11:AG315,AG315)-1))</f>
        <v>304</v>
      </c>
      <c r="AF315" t="str">
        <f>VLOOKUP(Profile!$J$5,Families!$C:$R,2,FALSE)</f>
        <v>Cheshire West &amp; Chester</v>
      </c>
      <c r="AG315" s="15">
        <f t="shared" si="124"/>
        <v>100</v>
      </c>
      <c r="AH315" s="46">
        <f t="shared" si="136"/>
        <v>304</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71.428571428571431</v>
      </c>
    </row>
    <row r="316" spans="1:50">
      <c r="A316" s="55" t="str">
        <f>$D$1&amp;306</f>
        <v>UA306</v>
      </c>
      <c r="B316" s="56">
        <f>IF(ISERROR(VLOOKUP(A316,classifications!A:C,3,FALSE)),0,VLOOKUP(A316,classifications!A:C,3,FALSE))</f>
        <v>0</v>
      </c>
      <c r="C316" t="s">
        <v>815</v>
      </c>
      <c r="D316" t="str">
        <f>VLOOKUP($C316,classifications!$C:$J,4,FALSE)</f>
        <v>UA</v>
      </c>
      <c r="E316">
        <f>VLOOKUP(C316,classifications!C:K,9,FALSE)</f>
        <v>0</v>
      </c>
      <c r="F316">
        <f t="shared" si="115"/>
        <v>85.714285714285708</v>
      </c>
      <c r="G316" s="15"/>
      <c r="H316" s="41">
        <f t="shared" si="116"/>
        <v>85.714285714285708</v>
      </c>
      <c r="I316" s="73">
        <f>IF(H316="","",IF($I$8="A",(RANK(H316,H$11:H$333,1)+COUNTIF(H$11:H316,H316)-1),(RANK(H316,H$11:H$333)+COUNTIF(H$11:H316,H316)-1)))</f>
        <v>47</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f>IF(I$8="A",(RANK(AG316,AG$11:AG$333,1)+COUNTIF(AG$11:AG316,AG316)-1),(RANK(AG316,AG$11:AG$333)+COUNTIF(AG$11:AG316,AG316)-1))</f>
        <v>305</v>
      </c>
      <c r="AF316" t="str">
        <f>VLOOKUP(Profile!$J$5,Families!$C:$R,2,FALSE)</f>
        <v>Cheshire West &amp; Chester</v>
      </c>
      <c r="AG316" s="15">
        <f t="shared" si="124"/>
        <v>100</v>
      </c>
      <c r="AH316" s="46">
        <f t="shared" si="136"/>
        <v>305</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85.714285714285708</v>
      </c>
    </row>
    <row r="317" spans="1:50">
      <c r="A317" s="55" t="str">
        <f>$D$1&amp;307</f>
        <v>UA307</v>
      </c>
      <c r="B317" s="56">
        <f>IF(ISERROR(VLOOKUP(A317,classifications!A:C,3,FALSE)),0,VLOOKUP(A317,classifications!A:C,3,FALSE))</f>
        <v>0</v>
      </c>
      <c r="C317" t="s">
        <v>256</v>
      </c>
      <c r="D317" t="str">
        <f>VLOOKUP($C317,classifications!$C:$J,4,FALSE)</f>
        <v>MD</v>
      </c>
      <c r="E317">
        <f>VLOOKUP(C317,classifications!C:K,9,FALSE)</f>
        <v>0</v>
      </c>
      <c r="F317">
        <f t="shared" si="115"/>
        <v>90.909090909090907</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f>IF(I$8="A",(RANK(AG317,AG$11:AG$333,1)+COUNTIF(AG$11:AG317,AG317)-1),(RANK(AG317,AG$11:AG$333)+COUNTIF(AG$11:AG317,AG317)-1))</f>
        <v>306</v>
      </c>
      <c r="AF317" t="str">
        <f>VLOOKUP(Profile!$J$5,Families!$C:$R,2,FALSE)</f>
        <v>Cheshire West &amp; Chester</v>
      </c>
      <c r="AG317" s="15">
        <f t="shared" si="124"/>
        <v>100</v>
      </c>
      <c r="AH317" s="46">
        <f t="shared" si="136"/>
        <v>306</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90.909090909090907</v>
      </c>
    </row>
    <row r="318" spans="1:50">
      <c r="A318" s="55" t="str">
        <f>$D$1&amp;308</f>
        <v>UA308</v>
      </c>
      <c r="B318" s="56">
        <f>IF(ISERROR(VLOOKUP(A318,classifications!A:C,3,FALSE)),0,VLOOKUP(A318,classifications!A:C,3,FALSE))</f>
        <v>0</v>
      </c>
      <c r="C318" t="s">
        <v>189</v>
      </c>
      <c r="D318" t="str">
        <f>VLOOKUP($C318,classifications!$C:$J,4,FALSE)</f>
        <v>SD</v>
      </c>
      <c r="E318">
        <f>VLOOKUP(C318,classifications!C:K,9,FALSE)</f>
        <v>0</v>
      </c>
      <c r="F318">
        <f t="shared" si="115"/>
        <v>50</v>
      </c>
      <c r="G318" s="15"/>
      <c r="H318" s="41" t="str">
        <f t="shared" si="116"/>
        <v/>
      </c>
      <c r="I318" s="73" t="str">
        <f>IF(H318="","",IF($I$8="A",(RANK(H318,H$11:H$333,1)+COUNTIF(H$11:H318,H318)-1),(RANK(H318,H$11:H$333)+COUNTIF(H$11:H318,H318)-1)))</f>
        <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f>IF(I$8="A",(RANK(AG318,AG$11:AG$333,1)+COUNTIF(AG$11:AG318,AG318)-1),(RANK(AG318,AG$11:AG$333)+COUNTIF(AG$11:AG318,AG318)-1))</f>
        <v>307</v>
      </c>
      <c r="AF318" t="str">
        <f>VLOOKUP(Profile!$J$5,Families!$C:$R,2,FALSE)</f>
        <v>Cheshire West &amp; Chester</v>
      </c>
      <c r="AG318" s="15">
        <f t="shared" si="124"/>
        <v>100</v>
      </c>
      <c r="AH318" s="46">
        <f t="shared" si="136"/>
        <v>307</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50</v>
      </c>
    </row>
    <row r="319" spans="1:50">
      <c r="A319" s="55" t="str">
        <f>$D$1&amp;309</f>
        <v>UA309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f t="shared" si="116"/>
        <v>100</v>
      </c>
      <c r="I319" s="73">
        <f>IF(H319="","",IF($I$8="A",(RANK(H319,H$11:H$333,1)+COUNTIF(H$11:H319,H319)-1),(RANK(H319,H$11:H$333)+COUNTIF(H$11:H319,H319)-1)))</f>
        <v>23</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f>IF(I$8="A",(RANK(AG319,AG$11:AG$333,1)+COUNTIF(AG$11:AG319,AG319)-1),(RANK(AG319,AG$11:AG$333)+COUNTIF(AG$11:AG319,AG319)-1))</f>
        <v>308</v>
      </c>
      <c r="AF319" t="str">
        <f>VLOOKUP(Profile!$J$5,Families!$C:$R,2,FALSE)</f>
        <v>Cheshire West &amp; Chester</v>
      </c>
      <c r="AG319" s="15">
        <f t="shared" si="124"/>
        <v>100</v>
      </c>
      <c r="AH319" s="46">
        <f t="shared" si="136"/>
        <v>308</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UA310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f>IF(I$8="A",(RANK(AG320,AG$11:AG$333,1)+COUNTIF(AG$11:AG320,AG320)-1),(RANK(AG320,AG$11:AG$333)+COUNTIF(AG$11:AG320,AG320)-1))</f>
        <v>309</v>
      </c>
      <c r="AF320" t="str">
        <f>VLOOKUP(Profile!$J$5,Families!$C:$R,2,FALSE)</f>
        <v>Cheshire West &amp; Chester</v>
      </c>
      <c r="AG320" s="15">
        <f t="shared" si="124"/>
        <v>100</v>
      </c>
      <c r="AH320" s="46">
        <f t="shared" si="136"/>
        <v>309</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UA311</v>
      </c>
      <c r="B321" s="56">
        <f>IF(ISERROR(VLOOKUP(A321,classifications!A:C,3,FALSE)),0,VLOOKUP(A321,classifications!A:C,3,FALSE))</f>
        <v>0</v>
      </c>
      <c r="C321" t="s">
        <v>190</v>
      </c>
      <c r="D321" t="str">
        <f>VLOOKUP($C321,classifications!$C:$J,4,FALSE)</f>
        <v>SD</v>
      </c>
      <c r="E321">
        <f>VLOOKUP(C321,classifications!C:K,9,FALSE)</f>
        <v>0</v>
      </c>
      <c r="F321">
        <f t="shared" si="115"/>
        <v>100</v>
      </c>
      <c r="G321" s="15"/>
      <c r="H321" s="41" t="str">
        <f t="shared" si="116"/>
        <v/>
      </c>
      <c r="I321" s="73" t="str">
        <f>IF(H321="","",IF($I$8="A",(RANK(H321,H$11:H$333,1)+COUNTIF(H$11:H321,H321)-1),(RANK(H321,H$11:H$333)+COUNTIF(H$11:H321,H321)-1)))</f>
        <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f>IF(I$8="A",(RANK(AG321,AG$11:AG$333,1)+COUNTIF(AG$11:AG321,AG321)-1),(RANK(AG321,AG$11:AG$333)+COUNTIF(AG$11:AG321,AG321)-1))</f>
        <v>310</v>
      </c>
      <c r="AF321" t="str">
        <f>VLOOKUP(Profile!$J$5,Families!$C:$R,2,FALSE)</f>
        <v>Cheshire West &amp; Chester</v>
      </c>
      <c r="AG321" s="15">
        <f t="shared" si="124"/>
        <v>100</v>
      </c>
      <c r="AH321" s="46">
        <f t="shared" si="136"/>
        <v>310</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100</v>
      </c>
    </row>
    <row r="322" spans="1:50">
      <c r="A322" s="55" t="str">
        <f>$D$1&amp;312</f>
        <v>UA312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f>IF(I$8="A",(RANK(AG322,AG$11:AG$333,1)+COUNTIF(AG$11:AG322,AG322)-1),(RANK(AG322,AG$11:AG$333)+COUNTIF(AG$11:AG322,AG322)-1))</f>
        <v>311</v>
      </c>
      <c r="AF322" t="str">
        <f>VLOOKUP(Profile!$J$5,Families!$C:$R,2,FALSE)</f>
        <v>Cheshire West &amp; Chester</v>
      </c>
      <c r="AG322" s="15">
        <f t="shared" si="124"/>
        <v>100</v>
      </c>
      <c r="AH322" s="46">
        <f t="shared" si="136"/>
        <v>311</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UA313</v>
      </c>
      <c r="B323" s="56">
        <f>IF(ISERROR(VLOOKUP(A323,classifications!A:C,3,FALSE)),0,VLOOKUP(A323,classifications!A:C,3,FALSE))</f>
        <v>0</v>
      </c>
      <c r="C323" t="s">
        <v>191</v>
      </c>
      <c r="D323" t="str">
        <f>VLOOKUP($C323,classifications!$C:$J,4,FALSE)</f>
        <v>SD</v>
      </c>
      <c r="E323">
        <f>VLOOKUP(C323,classifications!C:K,9,FALSE)</f>
        <v>0</v>
      </c>
      <c r="F323">
        <f t="shared" si="115"/>
        <v>100</v>
      </c>
      <c r="G323" s="15"/>
      <c r="H323" s="41" t="str">
        <f t="shared" si="116"/>
        <v/>
      </c>
      <c r="I323" s="73" t="str">
        <f>IF(H323="","",IF($I$8="A",(RANK(H323,H$11:H$333,1)+COUNTIF(H$11:H323,H323)-1),(RANK(H323,H$11:H$333)+COUNTIF(H$11:H323,H323)-1)))</f>
        <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f>IF(I$8="A",(RANK(AG323,AG$11:AG$333,1)+COUNTIF(AG$11:AG323,AG323)-1),(RANK(AG323,AG$11:AG$333)+COUNTIF(AG$11:AG323,AG323)-1))</f>
        <v>312</v>
      </c>
      <c r="AF323" t="str">
        <f>VLOOKUP(Profile!$J$5,Families!$C:$R,2,FALSE)</f>
        <v>Cheshire West &amp; Chester</v>
      </c>
      <c r="AG323" s="15">
        <f t="shared" si="124"/>
        <v>100</v>
      </c>
      <c r="AH323" s="46">
        <f t="shared" si="136"/>
        <v>312</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100</v>
      </c>
    </row>
    <row r="324" spans="1:50">
      <c r="A324" s="55" t="str">
        <f>$D$1&amp;314</f>
        <v>UA314</v>
      </c>
      <c r="B324" s="56">
        <f>IF(ISERROR(VLOOKUP(A324,classifications!A:C,3,FALSE)),0,VLOOKUP(A324,classifications!A:C,3,FALSE))</f>
        <v>0</v>
      </c>
      <c r="C324" t="s">
        <v>192</v>
      </c>
      <c r="D324" t="str">
        <f>VLOOKUP($C324,classifications!$C:$J,4,FALSE)</f>
        <v>SD</v>
      </c>
      <c r="E324" t="str">
        <f>VLOOKUP(C324,classifications!C:K,9,FALSE)</f>
        <v>Sparse</v>
      </c>
      <c r="F324">
        <f t="shared" si="115"/>
        <v>62.5</v>
      </c>
      <c r="G324" s="15"/>
      <c r="H324" s="41" t="str">
        <f t="shared" si="116"/>
        <v/>
      </c>
      <c r="I324" s="73" t="str">
        <f>IF(H324="","",IF($I$8="A",(RANK(H324,H$11:H$333,1)+COUNTIF(H$11:H324,H324)-1),(RANK(H324,H$11:H$333)+COUNTIF(H$11:H324,H324)-1)))</f>
        <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f>IF(I$8="A",(RANK(AG324,AG$11:AG$333,1)+COUNTIF(AG$11:AG324,AG324)-1),(RANK(AG324,AG$11:AG$333)+COUNTIF(AG$11:AG324,AG324)-1))</f>
        <v>313</v>
      </c>
      <c r="AF324" t="str">
        <f>VLOOKUP(Profile!$J$5,Families!$C:$R,2,FALSE)</f>
        <v>Cheshire West &amp; Chester</v>
      </c>
      <c r="AG324" s="15">
        <f t="shared" si="124"/>
        <v>100</v>
      </c>
      <c r="AH324" s="46">
        <f t="shared" si="136"/>
        <v>313</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62.5</v>
      </c>
    </row>
    <row r="325" spans="1:50">
      <c r="A325" s="55" t="str">
        <f>$D$1&amp;315</f>
        <v>UA315</v>
      </c>
      <c r="B325" s="56">
        <f>IF(ISERROR(VLOOKUP(A325,classifications!A:C,3,FALSE)),0,VLOOKUP(A325,classifications!A:C,3,FALSE))</f>
        <v>0</v>
      </c>
      <c r="C325" t="s">
        <v>194</v>
      </c>
      <c r="D325" t="str">
        <f>VLOOKUP($C325,classifications!$C:$J,4,FALSE)</f>
        <v>SD</v>
      </c>
      <c r="E325">
        <f>VLOOKUP(C325,classifications!C:K,9,FALSE)</f>
        <v>0</v>
      </c>
      <c r="F325">
        <f t="shared" si="115"/>
        <v>71.428571428571431</v>
      </c>
      <c r="G325" s="15"/>
      <c r="H325" s="41" t="str">
        <f t="shared" si="116"/>
        <v/>
      </c>
      <c r="I325" s="73" t="str">
        <f>IF(H325="","",IF($I$8="A",(RANK(H325,H$11:H$333,1)+COUNTIF(H$11:H325,H325)-1),(RANK(H325,H$11:H$333)+COUNTIF(H$11:H325,H325)-1)))</f>
        <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f>IF(I$8="A",(RANK(AG325,AG$11:AG$333,1)+COUNTIF(AG$11:AG325,AG325)-1),(RANK(AG325,AG$11:AG$333)+COUNTIF(AG$11:AG325,AG325)-1))</f>
        <v>314</v>
      </c>
      <c r="AF325" t="str">
        <f>VLOOKUP(Profile!$J$5,Families!$C:$R,2,FALSE)</f>
        <v>Cheshire West &amp; Chester</v>
      </c>
      <c r="AG325" s="15">
        <f t="shared" si="124"/>
        <v>100</v>
      </c>
      <c r="AH325" s="46">
        <f t="shared" si="136"/>
        <v>314</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71.428571428571431</v>
      </c>
    </row>
    <row r="326" spans="1:50">
      <c r="A326" s="55" t="str">
        <f>$D$1&amp;316</f>
        <v>UA316</v>
      </c>
      <c r="B326" s="56">
        <f>IF(ISERROR(VLOOKUP(A326,classifications!A:C,3,FALSE)),0,VLOOKUP(A326,classifications!A:C,3,FALSE))</f>
        <v>0</v>
      </c>
      <c r="C326" t="s">
        <v>195</v>
      </c>
      <c r="D326" t="str">
        <f>VLOOKUP($C326,classifications!$C:$J,4,FALSE)</f>
        <v>SD</v>
      </c>
      <c r="E326">
        <f>VLOOKUP(C326,classifications!C:K,9,FALSE)</f>
        <v>0</v>
      </c>
      <c r="F326">
        <f t="shared" si="115"/>
        <v>16.666666666666664</v>
      </c>
      <c r="G326" s="15"/>
      <c r="H326" s="41" t="str">
        <f t="shared" si="116"/>
        <v/>
      </c>
      <c r="I326" s="73" t="str">
        <f>IF(H326="","",IF($I$8="A",(RANK(H326,H$11:H$333,1)+COUNTIF(H$11:H326,H326)-1),(RANK(H326,H$11:H$333)+COUNTIF(H$11:H326,H326)-1)))</f>
        <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f>IF(I$8="A",(RANK(AG326,AG$11:AG$333,1)+COUNTIF(AG$11:AG326,AG326)-1),(RANK(AG326,AG$11:AG$333)+COUNTIF(AG$11:AG326,AG326)-1))</f>
        <v>315</v>
      </c>
      <c r="AF326" t="str">
        <f>VLOOKUP(Profile!$J$5,Families!$C:$R,2,FALSE)</f>
        <v>Cheshire West &amp; Chester</v>
      </c>
      <c r="AG326" s="15">
        <f t="shared" si="124"/>
        <v>100</v>
      </c>
      <c r="AH326" s="46">
        <f t="shared" si="136"/>
        <v>315</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16.666666666666664</v>
      </c>
    </row>
    <row r="327" spans="1:50">
      <c r="A327" s="55" t="str">
        <f>$D$1&amp;317</f>
        <v>UA317</v>
      </c>
      <c r="B327" s="56">
        <f>IF(ISERROR(VLOOKUP(A327,classifications!A:C,3,FALSE)),0,VLOOKUP(A327,classifications!A:C,3,FALSE))</f>
        <v>0</v>
      </c>
      <c r="C327" t="s">
        <v>299</v>
      </c>
      <c r="D327" t="str">
        <f>VLOOKUP($C327,classifications!$C:$J,4,FALSE)</f>
        <v>UA</v>
      </c>
      <c r="E327">
        <f>VLOOKUP(C327,classifications!C:K,9,FALSE)</f>
        <v>0</v>
      </c>
      <c r="F327">
        <f t="shared" si="115"/>
        <v>100</v>
      </c>
      <c r="G327" s="15"/>
      <c r="H327" s="41">
        <f t="shared" si="116"/>
        <v>100</v>
      </c>
      <c r="I327" s="73">
        <f>IF(H327="","",IF($I$8="A",(RANK(H327,H$11:H$333,1)+COUNTIF(H$11:H327,H327)-1),(RANK(H327,H$11:H$333)+COUNTIF(H$11:H327,H327)-1)))</f>
        <v>24</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f>IF(I$8="A",(RANK(AG327,AG$11:AG$333,1)+COUNTIF(AG$11:AG327,AG327)-1),(RANK(AG327,AG$11:AG$333)+COUNTIF(AG$11:AG327,AG327)-1))</f>
        <v>316</v>
      </c>
      <c r="AF327" t="str">
        <f>VLOOKUP(Profile!$J$5,Families!$C:$R,2,FALSE)</f>
        <v>Cheshire West &amp; Chester</v>
      </c>
      <c r="AG327" s="15">
        <f t="shared" si="124"/>
        <v>100</v>
      </c>
      <c r="AH327" s="46">
        <f t="shared" si="136"/>
        <v>316</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100</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4" sqref="F4: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904</v>
      </c>
      <c r="B2" t="s">
        <v>811</v>
      </c>
      <c r="C2" t="s">
        <v>822</v>
      </c>
      <c r="D2" t="s">
        <v>887</v>
      </c>
      <c r="F2" t="s">
        <v>902</v>
      </c>
    </row>
    <row r="3" spans="1:6" ht="14.4">
      <c r="A3" s="232" t="s">
        <v>905</v>
      </c>
      <c r="B3" t="s">
        <v>811</v>
      </c>
      <c r="C3" t="s">
        <v>822</v>
      </c>
      <c r="D3" t="s">
        <v>887</v>
      </c>
      <c r="F3" t="s">
        <v>903</v>
      </c>
    </row>
    <row r="4" spans="1:6" ht="14.4">
      <c r="A4" s="232" t="s">
        <v>906</v>
      </c>
      <c r="B4" t="s">
        <v>811</v>
      </c>
      <c r="C4" t="s">
        <v>822</v>
      </c>
      <c r="D4" t="s">
        <v>887</v>
      </c>
      <c r="F4" t="s">
        <v>907</v>
      </c>
    </row>
    <row r="5" spans="1:6" ht="14.4">
      <c r="A5" s="198"/>
      <c r="F5" t="s">
        <v>908</v>
      </c>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I4" sqref="I4:N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time2023 Q1</v>
      </c>
      <c r="D1" s="136" t="str">
        <f t="shared" ref="D1:BI1" si="0">D4&amp;D5</f>
        <v>Minor Developments - % decisions in time2023 Q1</v>
      </c>
      <c r="E1" s="136" t="str">
        <f t="shared" si="0"/>
        <v>Other Developments - % decisions in time2023 Q1</v>
      </c>
      <c r="F1" s="136" t="str">
        <f t="shared" si="0"/>
        <v>Major Developments - % decisions in time2023 Q2</v>
      </c>
      <c r="G1" s="136" t="str">
        <f t="shared" si="0"/>
        <v>Minor Developments - % decisions in time2023 Q2</v>
      </c>
      <c r="H1" s="136" t="str">
        <f t="shared" si="0"/>
        <v>Other Developments - % decisions in time2023 Q2</v>
      </c>
      <c r="I1" s="136" t="str">
        <f t="shared" si="0"/>
        <v>Major Developments - % decisions in time2023 Q3</v>
      </c>
      <c r="J1" s="136" t="str">
        <f t="shared" si="0"/>
        <v>Minor Developments - % decisions in time2023 Q3</v>
      </c>
      <c r="K1" s="136" t="str">
        <f t="shared" si="0"/>
        <v>Other Developments - % decisions in time2023 Q3</v>
      </c>
      <c r="L1" s="136" t="str">
        <f t="shared" si="0"/>
        <v>Major Developments - % decisions in time2023 Q4</v>
      </c>
      <c r="M1" s="136" t="str">
        <f t="shared" si="0"/>
        <v>Minor Developments - % decisions in time2023 Q4</v>
      </c>
      <c r="N1" s="136" t="str">
        <f t="shared" si="0"/>
        <v>Other Developments - % decisions in time2023 Q4</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904</v>
      </c>
      <c r="D4" s="232" t="s">
        <v>905</v>
      </c>
      <c r="E4" s="232" t="s">
        <v>906</v>
      </c>
      <c r="F4" s="232" t="s">
        <v>904</v>
      </c>
      <c r="G4" s="232" t="s">
        <v>905</v>
      </c>
      <c r="H4" s="232" t="s">
        <v>906</v>
      </c>
      <c r="I4" s="232" t="s">
        <v>904</v>
      </c>
      <c r="J4" s="232" t="s">
        <v>905</v>
      </c>
      <c r="K4" s="232" t="s">
        <v>906</v>
      </c>
      <c r="L4" s="232" t="s">
        <v>904</v>
      </c>
      <c r="M4" s="232" t="s">
        <v>905</v>
      </c>
      <c r="N4" s="232" t="s">
        <v>906</v>
      </c>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902</v>
      </c>
      <c r="D5" t="s">
        <v>902</v>
      </c>
      <c r="E5" t="s">
        <v>902</v>
      </c>
      <c r="F5" t="s">
        <v>903</v>
      </c>
      <c r="G5" t="s">
        <v>903</v>
      </c>
      <c r="H5" t="s">
        <v>903</v>
      </c>
      <c r="I5" t="s">
        <v>907</v>
      </c>
      <c r="J5" t="s">
        <v>907</v>
      </c>
      <c r="K5" t="s">
        <v>907</v>
      </c>
      <c r="L5" t="s">
        <v>908</v>
      </c>
      <c r="M5" t="s">
        <v>908</v>
      </c>
      <c r="N5" t="s">
        <v>908</v>
      </c>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t="s">
        <v>885</v>
      </c>
      <c r="J6" s="155" t="s">
        <v>885</v>
      </c>
      <c r="K6" s="155" t="s">
        <v>885</v>
      </c>
      <c r="L6" s="155" t="s">
        <v>885</v>
      </c>
      <c r="M6" s="155" t="s">
        <v>885</v>
      </c>
      <c r="N6" s="155" t="s">
        <v>885</v>
      </c>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100</v>
      </c>
      <c r="D7">
        <v>86.956521739130437</v>
      </c>
      <c r="E7">
        <v>96.428571428571431</v>
      </c>
      <c r="F7">
        <v>100</v>
      </c>
      <c r="G7">
        <v>100</v>
      </c>
      <c r="H7">
        <v>95.180722891566262</v>
      </c>
      <c r="I7">
        <v>100</v>
      </c>
      <c r="J7">
        <v>92.307692307692307</v>
      </c>
      <c r="K7">
        <v>93.442622950819683</v>
      </c>
      <c r="L7">
        <v>0</v>
      </c>
      <c r="M7">
        <v>96.15384615384616</v>
      </c>
      <c r="N7">
        <v>95.180722891566262</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86.666666666666671</v>
      </c>
      <c r="E8">
        <v>96.913580246913583</v>
      </c>
      <c r="F8">
        <v>100</v>
      </c>
      <c r="G8">
        <v>58.620689655172406</v>
      </c>
      <c r="H8">
        <v>99.397590361445793</v>
      </c>
      <c r="I8">
        <v>75</v>
      </c>
      <c r="J8">
        <v>92.1875</v>
      </c>
      <c r="K8">
        <v>98.6013986013986</v>
      </c>
      <c r="L8">
        <v>100</v>
      </c>
      <c r="M8">
        <v>90.277777777777786</v>
      </c>
      <c r="N8">
        <v>97.222222222222214</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60</v>
      </c>
      <c r="D9">
        <v>75</v>
      </c>
      <c r="E9">
        <v>94.805194805194802</v>
      </c>
      <c r="F9">
        <v>64.285714285714292</v>
      </c>
      <c r="G9">
        <v>76.271186440677965</v>
      </c>
      <c r="H9">
        <v>96.685082872928177</v>
      </c>
      <c r="I9">
        <v>75</v>
      </c>
      <c r="J9">
        <v>88.059701492537314</v>
      </c>
      <c r="K9">
        <v>94.797687861271669</v>
      </c>
      <c r="L9">
        <v>83.333333333333343</v>
      </c>
      <c r="M9">
        <v>89.795918367346943</v>
      </c>
      <c r="N9">
        <v>96.527777777777786</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66.666666666666657</v>
      </c>
      <c r="D10">
        <v>58.974358974358978</v>
      </c>
      <c r="E10">
        <v>77.41935483870968</v>
      </c>
      <c r="F10">
        <v>70</v>
      </c>
      <c r="G10">
        <v>58.139534883720934</v>
      </c>
      <c r="H10">
        <v>69.014084507042256</v>
      </c>
      <c r="I10">
        <v>66.666666666666657</v>
      </c>
      <c r="J10">
        <v>81.818181818181827</v>
      </c>
      <c r="K10">
        <v>76.470588235294116</v>
      </c>
      <c r="L10">
        <v>80</v>
      </c>
      <c r="M10">
        <v>87.096774193548384</v>
      </c>
      <c r="N10">
        <v>91.666666666666657</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77.777777777777786</v>
      </c>
      <c r="D11">
        <v>74.380165289256198</v>
      </c>
      <c r="E11">
        <v>89.558232931726906</v>
      </c>
      <c r="F11">
        <v>44.444444444444443</v>
      </c>
      <c r="G11">
        <v>43.75</v>
      </c>
      <c r="H11">
        <v>89.805825242718456</v>
      </c>
      <c r="I11">
        <v>66.666666666666657</v>
      </c>
      <c r="J11">
        <v>76.530612244897952</v>
      </c>
      <c r="K11">
        <v>89.743589743589752</v>
      </c>
      <c r="L11">
        <v>87.5</v>
      </c>
      <c r="M11">
        <v>73.333333333333329</v>
      </c>
      <c r="N11">
        <v>88.81987577639751</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100</v>
      </c>
      <c r="D12">
        <v>84.745762711864401</v>
      </c>
      <c r="E12">
        <v>97.076023391812853</v>
      </c>
      <c r="F12">
        <v>100</v>
      </c>
      <c r="G12">
        <v>75.384615384615387</v>
      </c>
      <c r="H12">
        <v>95.431472081218274</v>
      </c>
      <c r="I12">
        <v>100</v>
      </c>
      <c r="J12">
        <v>85.714285714285708</v>
      </c>
      <c r="K12">
        <v>94.054054054054063</v>
      </c>
      <c r="L12">
        <v>100</v>
      </c>
      <c r="M12">
        <v>89.65517241379311</v>
      </c>
      <c r="N12">
        <v>96.078431372549019</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v>100</v>
      </c>
      <c r="G13">
        <v>100</v>
      </c>
      <c r="H13">
        <v>100</v>
      </c>
      <c r="I13">
        <v>100</v>
      </c>
      <c r="J13">
        <v>100</v>
      </c>
      <c r="K13">
        <v>100</v>
      </c>
      <c r="L13">
        <v>100</v>
      </c>
      <c r="M13">
        <v>100</v>
      </c>
      <c r="N13">
        <v>100</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90</v>
      </c>
      <c r="D14">
        <v>71.641791044776113</v>
      </c>
      <c r="E14">
        <v>71.136363636363626</v>
      </c>
      <c r="F14">
        <v>54.54545454545454</v>
      </c>
      <c r="G14">
        <v>84.090909090909093</v>
      </c>
      <c r="H14">
        <v>81.92771084337349</v>
      </c>
      <c r="I14">
        <v>100</v>
      </c>
      <c r="J14">
        <v>80.888888888888886</v>
      </c>
      <c r="K14">
        <v>84.722222222222214</v>
      </c>
      <c r="L14">
        <v>100</v>
      </c>
      <c r="M14">
        <v>84.937238493723854</v>
      </c>
      <c r="N14">
        <v>88.68312757201646</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93.478260869565219</v>
      </c>
      <c r="E15">
        <v>94.573643410852711</v>
      </c>
      <c r="F15">
        <v>100</v>
      </c>
      <c r="G15">
        <v>89.65517241379311</v>
      </c>
      <c r="H15">
        <v>93.220338983050837</v>
      </c>
      <c r="I15">
        <v>100</v>
      </c>
      <c r="J15">
        <v>91.379310344827587</v>
      </c>
      <c r="K15">
        <v>98.319327731092429</v>
      </c>
      <c r="L15">
        <v>100</v>
      </c>
      <c r="M15">
        <v>94.339622641509436</v>
      </c>
      <c r="N15">
        <v>97.5</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100</v>
      </c>
      <c r="D16">
        <v>54.54545454545454</v>
      </c>
      <c r="E16">
        <v>77.714285714285708</v>
      </c>
      <c r="F16">
        <v>90</v>
      </c>
      <c r="G16">
        <v>73.68421052631578</v>
      </c>
      <c r="H16">
        <v>84.065934065934073</v>
      </c>
      <c r="I16">
        <v>80</v>
      </c>
      <c r="J16">
        <v>68.085106382978722</v>
      </c>
      <c r="K16">
        <v>78.709677419354847</v>
      </c>
      <c r="L16">
        <v>100</v>
      </c>
      <c r="M16">
        <v>78.048780487804876</v>
      </c>
      <c r="N16">
        <v>81.679389312977108</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75</v>
      </c>
      <c r="D17">
        <v>73.076923076923066</v>
      </c>
      <c r="E17">
        <v>87.614678899082563</v>
      </c>
      <c r="F17">
        <v>100</v>
      </c>
      <c r="G17">
        <v>75.609756097560975</v>
      </c>
      <c r="H17">
        <v>91.62561576354679</v>
      </c>
      <c r="I17">
        <v>66.666666666666657</v>
      </c>
      <c r="J17">
        <v>80.952380952380949</v>
      </c>
      <c r="K17">
        <v>88.888888888888886</v>
      </c>
      <c r="L17">
        <v>100</v>
      </c>
      <c r="M17">
        <v>78.021978021978029</v>
      </c>
      <c r="N17">
        <v>91.83673469387756</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93.333333333333329</v>
      </c>
      <c r="D18">
        <v>88.461538461538453</v>
      </c>
      <c r="E18">
        <v>96.907216494845358</v>
      </c>
      <c r="F18">
        <v>85.714285714285708</v>
      </c>
      <c r="G18">
        <v>87.2340425531915</v>
      </c>
      <c r="H18">
        <v>90.099009900990097</v>
      </c>
      <c r="I18">
        <v>100</v>
      </c>
      <c r="J18">
        <v>73.91304347826086</v>
      </c>
      <c r="K18">
        <v>70.930232558139537</v>
      </c>
      <c r="L18">
        <v>85.714285714285708</v>
      </c>
      <c r="M18">
        <v>80</v>
      </c>
      <c r="N18">
        <v>86.486486486486484</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87.5</v>
      </c>
      <c r="D19">
        <v>85.714285714285708</v>
      </c>
      <c r="E19">
        <v>85.483870967741936</v>
      </c>
      <c r="F19">
        <v>100</v>
      </c>
      <c r="G19">
        <v>89.130434782608688</v>
      </c>
      <c r="H19">
        <v>79.342723004694832</v>
      </c>
      <c r="I19">
        <v>100</v>
      </c>
      <c r="J19">
        <v>85.227272727272734</v>
      </c>
      <c r="K19">
        <v>86.629526462395546</v>
      </c>
      <c r="L19">
        <v>100</v>
      </c>
      <c r="M19">
        <v>85.858585858585855</v>
      </c>
      <c r="N19">
        <v>82.991202346041064</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100</v>
      </c>
      <c r="D20">
        <v>68.75</v>
      </c>
      <c r="E20">
        <v>84.651162790697683</v>
      </c>
      <c r="F20">
        <v>92.307692307692307</v>
      </c>
      <c r="G20">
        <v>58.333333333333336</v>
      </c>
      <c r="H20">
        <v>92.982456140350877</v>
      </c>
      <c r="I20">
        <v>83.333333333333343</v>
      </c>
      <c r="J20">
        <v>76.623376623376629</v>
      </c>
      <c r="K20">
        <v>87.37373737373737</v>
      </c>
      <c r="L20">
        <v>90</v>
      </c>
      <c r="M20">
        <v>91.428571428571431</v>
      </c>
      <c r="N20">
        <v>91.121495327102807</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94.642857142857139</v>
      </c>
      <c r="E21">
        <v>94.137931034482762</v>
      </c>
      <c r="F21">
        <v>100</v>
      </c>
      <c r="G21">
        <v>91.228070175438589</v>
      </c>
      <c r="H21">
        <v>97.142857142857139</v>
      </c>
      <c r="I21">
        <v>100</v>
      </c>
      <c r="J21">
        <v>88.372093023255815</v>
      </c>
      <c r="K21">
        <v>94.637223974763401</v>
      </c>
      <c r="L21">
        <v>100</v>
      </c>
      <c r="M21">
        <v>78.082191780821915</v>
      </c>
      <c r="N21">
        <v>91.40625</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100</v>
      </c>
      <c r="D22">
        <v>89.641434262948209</v>
      </c>
      <c r="E22">
        <v>87.987679671457911</v>
      </c>
      <c r="F22">
        <v>88</v>
      </c>
      <c r="G22">
        <v>86.976744186046503</v>
      </c>
      <c r="H22">
        <v>93.609022556390968</v>
      </c>
      <c r="I22">
        <v>96.428571428571431</v>
      </c>
      <c r="J22">
        <v>80.512820512820511</v>
      </c>
      <c r="K22">
        <v>92.091152815013402</v>
      </c>
      <c r="L22">
        <v>86.36363636363636</v>
      </c>
      <c r="M22">
        <v>90.495867768595033</v>
      </c>
      <c r="N22">
        <v>89.074550128534696</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97.5</v>
      </c>
      <c r="E23">
        <v>93.406593406593402</v>
      </c>
      <c r="F23">
        <v>100</v>
      </c>
      <c r="G23">
        <v>93.103448275862064</v>
      </c>
      <c r="H23">
        <v>95.348837209302332</v>
      </c>
      <c r="I23">
        <v>100</v>
      </c>
      <c r="J23">
        <v>79.310344827586206</v>
      </c>
      <c r="K23">
        <v>97.457627118644069</v>
      </c>
      <c r="L23">
        <v>83.333333333333343</v>
      </c>
      <c r="M23">
        <v>96.875</v>
      </c>
      <c r="N23">
        <v>93.396226415094347</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96.428571428571431</v>
      </c>
      <c r="E24">
        <v>95.78947368421052</v>
      </c>
      <c r="F24">
        <v>100</v>
      </c>
      <c r="G24">
        <v>97.435897435897431</v>
      </c>
      <c r="H24">
        <v>96.703296703296701</v>
      </c>
      <c r="I24">
        <v>100</v>
      </c>
      <c r="J24">
        <v>100</v>
      </c>
      <c r="K24">
        <v>98.979591836734699</v>
      </c>
      <c r="L24">
        <v>100</v>
      </c>
      <c r="M24">
        <v>100</v>
      </c>
      <c r="N24">
        <v>98.958333333333343</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83.333333333333343</v>
      </c>
      <c r="D25">
        <v>74.193548387096769</v>
      </c>
      <c r="E25">
        <v>90.163934426229503</v>
      </c>
      <c r="F25">
        <v>100</v>
      </c>
      <c r="G25">
        <v>65.625</v>
      </c>
      <c r="H25">
        <v>88.235294117647058</v>
      </c>
      <c r="I25">
        <v>80</v>
      </c>
      <c r="J25">
        <v>73.68421052631578</v>
      </c>
      <c r="K25">
        <v>86.206896551724128</v>
      </c>
      <c r="L25">
        <v>100</v>
      </c>
      <c r="M25">
        <v>90.322580645161281</v>
      </c>
      <c r="N25">
        <v>84.375</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76.923076923076934</v>
      </c>
      <c r="E26">
        <v>94.642857142857139</v>
      </c>
      <c r="F26">
        <v>100</v>
      </c>
      <c r="G26">
        <v>89.285714285714292</v>
      </c>
      <c r="H26">
        <v>100</v>
      </c>
      <c r="I26">
        <v>100</v>
      </c>
      <c r="J26">
        <v>100</v>
      </c>
      <c r="K26">
        <v>98.412698412698404</v>
      </c>
      <c r="L26">
        <v>85.714285714285708</v>
      </c>
      <c r="M26">
        <v>100</v>
      </c>
      <c r="N26">
        <v>98.039215686274503</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95.454545454545453</v>
      </c>
      <c r="D27">
        <v>90.243902439024396</v>
      </c>
      <c r="E27">
        <v>88.202247191011239</v>
      </c>
      <c r="F27">
        <v>100</v>
      </c>
      <c r="G27">
        <v>84.146341463414629</v>
      </c>
      <c r="H27">
        <v>89.568345323740999</v>
      </c>
      <c r="I27">
        <v>92.307692307692307</v>
      </c>
      <c r="J27">
        <v>88.571428571428569</v>
      </c>
      <c r="K27">
        <v>92.156862745098039</v>
      </c>
      <c r="L27">
        <v>81.818181818181827</v>
      </c>
      <c r="M27">
        <v>94.117647058823522</v>
      </c>
      <c r="N27">
        <v>93.84615384615384</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88.888888888888886</v>
      </c>
      <c r="D28">
        <v>86.842105263157904</v>
      </c>
      <c r="E28">
        <v>97.560975609756099</v>
      </c>
      <c r="F28">
        <v>100</v>
      </c>
      <c r="G28">
        <v>75</v>
      </c>
      <c r="H28">
        <v>81.081081081081081</v>
      </c>
      <c r="I28">
        <v>90</v>
      </c>
      <c r="J28">
        <v>88.461538461538453</v>
      </c>
      <c r="K28">
        <v>90.909090909090907</v>
      </c>
      <c r="L28">
        <v>100</v>
      </c>
      <c r="M28">
        <v>88.888888888888886</v>
      </c>
      <c r="N28">
        <v>93.75</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78.571428571428569</v>
      </c>
      <c r="D29">
        <v>74.869109947643977</v>
      </c>
      <c r="E29">
        <v>86.422976501305484</v>
      </c>
      <c r="F29">
        <v>84</v>
      </c>
      <c r="G29">
        <v>73.300970873786412</v>
      </c>
      <c r="H29">
        <v>84.633027522935777</v>
      </c>
      <c r="I29">
        <v>86.36363636363636</v>
      </c>
      <c r="J29">
        <v>68.055555555555557</v>
      </c>
      <c r="K29">
        <v>85.682819383259911</v>
      </c>
      <c r="L29">
        <v>80</v>
      </c>
      <c r="M29">
        <v>69.849246231155774</v>
      </c>
      <c r="N29">
        <v>85.749385749385752</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83.333333333333343</v>
      </c>
      <c r="D30">
        <v>70.967741935483872</v>
      </c>
      <c r="E30">
        <v>84.166666666666671</v>
      </c>
      <c r="F30">
        <v>100</v>
      </c>
      <c r="G30">
        <v>84</v>
      </c>
      <c r="H30">
        <v>91.304347826086953</v>
      </c>
      <c r="I30">
        <v>88.888888888888886</v>
      </c>
      <c r="J30">
        <v>96</v>
      </c>
      <c r="K30">
        <v>85.470085470085465</v>
      </c>
      <c r="L30">
        <v>88.888888888888886</v>
      </c>
      <c r="M30">
        <v>91.428571428571431</v>
      </c>
      <c r="N30">
        <v>98.360655737704917</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66.666666666666657</v>
      </c>
      <c r="D31">
        <v>84.393063583815035</v>
      </c>
      <c r="E31">
        <v>90.547263681592042</v>
      </c>
      <c r="F31">
        <v>87.5</v>
      </c>
      <c r="G31">
        <v>83.536585365853654</v>
      </c>
      <c r="H31">
        <v>91.348088531187116</v>
      </c>
      <c r="I31">
        <v>100</v>
      </c>
      <c r="J31">
        <v>84.466019417475721</v>
      </c>
      <c r="K31">
        <v>91.666666666666657</v>
      </c>
      <c r="L31">
        <v>100</v>
      </c>
      <c r="M31">
        <v>88</v>
      </c>
      <c r="N31">
        <v>90.973871733966746</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92.307692307692307</v>
      </c>
      <c r="D32">
        <v>89.743589743589752</v>
      </c>
      <c r="E32">
        <v>92.178770949720672</v>
      </c>
      <c r="F32">
        <v>94.73684210526315</v>
      </c>
      <c r="G32">
        <v>86.36363636363636</v>
      </c>
      <c r="H32">
        <v>92.857142857142861</v>
      </c>
      <c r="I32">
        <v>90.909090909090907</v>
      </c>
      <c r="J32">
        <v>85.263157894736835</v>
      </c>
      <c r="K32">
        <v>93.529411764705884</v>
      </c>
      <c r="L32">
        <v>80</v>
      </c>
      <c r="M32">
        <v>85.576923076923066</v>
      </c>
      <c r="N32">
        <v>84.444444444444443</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94.444444444444443</v>
      </c>
      <c r="D33">
        <v>85</v>
      </c>
      <c r="E33">
        <v>97.368421052631575</v>
      </c>
      <c r="F33">
        <v>84.615384615384613</v>
      </c>
      <c r="G33">
        <v>93.333333333333329</v>
      </c>
      <c r="H33">
        <v>98.620689655172413</v>
      </c>
      <c r="I33">
        <v>87.5</v>
      </c>
      <c r="J33">
        <v>89.65517241379311</v>
      </c>
      <c r="K33">
        <v>97.826086956521735</v>
      </c>
      <c r="L33">
        <v>84.615384615384613</v>
      </c>
      <c r="M33">
        <v>88.043478260869563</v>
      </c>
      <c r="N33">
        <v>99.21875</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75.714285714285708</v>
      </c>
      <c r="E34">
        <v>81.15384615384616</v>
      </c>
      <c r="F34">
        <v>100</v>
      </c>
      <c r="G34">
        <v>82.075471698113205</v>
      </c>
      <c r="H34">
        <v>88.326848249027236</v>
      </c>
      <c r="I34">
        <v>100</v>
      </c>
      <c r="J34">
        <v>84.54106280193237</v>
      </c>
      <c r="K34">
        <v>88.48684210526315</v>
      </c>
      <c r="L34">
        <v>100</v>
      </c>
      <c r="M34">
        <v>76.966292134831463</v>
      </c>
      <c r="N34">
        <v>87.030716723549489</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92.307692307692307</v>
      </c>
      <c r="E35">
        <v>98.870056497175142</v>
      </c>
      <c r="F35">
        <v>100</v>
      </c>
      <c r="G35">
        <v>100</v>
      </c>
      <c r="H35">
        <v>100</v>
      </c>
      <c r="I35">
        <v>100</v>
      </c>
      <c r="J35">
        <v>97.014925373134332</v>
      </c>
      <c r="K35">
        <v>98.639455782312922</v>
      </c>
      <c r="L35">
        <v>100</v>
      </c>
      <c r="M35">
        <v>98.360655737704917</v>
      </c>
      <c r="N35">
        <v>96.551724137931032</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83.333333333333343</v>
      </c>
      <c r="D36">
        <v>89.156626506024097</v>
      </c>
      <c r="E36">
        <v>88.513513513513516</v>
      </c>
      <c r="F36">
        <v>100</v>
      </c>
      <c r="G36">
        <v>92.05298013245033</v>
      </c>
      <c r="H36">
        <v>91.408934707903782</v>
      </c>
      <c r="I36">
        <v>100</v>
      </c>
      <c r="J36">
        <v>89.204545454545453</v>
      </c>
      <c r="K36">
        <v>88.157894736842096</v>
      </c>
      <c r="L36">
        <v>100</v>
      </c>
      <c r="M36">
        <v>92.715231788079464</v>
      </c>
      <c r="N36">
        <v>88.808664259927795</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100</v>
      </c>
      <c r="D37">
        <v>47.474747474747474</v>
      </c>
      <c r="E37">
        <v>56.399999999999991</v>
      </c>
      <c r="F37">
        <v>81.818181818181827</v>
      </c>
      <c r="G37">
        <v>58.426966292134829</v>
      </c>
      <c r="H37">
        <v>72.395833333333343</v>
      </c>
      <c r="I37">
        <v>80</v>
      </c>
      <c r="J37">
        <v>57.798165137614674</v>
      </c>
      <c r="K37">
        <v>62.777777777777779</v>
      </c>
      <c r="L37">
        <v>87.5</v>
      </c>
      <c r="M37">
        <v>51.030927835051543</v>
      </c>
      <c r="N37">
        <v>68.062827225130889</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80</v>
      </c>
      <c r="D38">
        <v>87.179487179487182</v>
      </c>
      <c r="E38">
        <v>89.820359281437121</v>
      </c>
      <c r="F38">
        <v>91.666666666666657</v>
      </c>
      <c r="G38">
        <v>86.206896551724128</v>
      </c>
      <c r="H38">
        <v>78.688524590163937</v>
      </c>
      <c r="I38">
        <v>100</v>
      </c>
      <c r="J38">
        <v>86.666666666666671</v>
      </c>
      <c r="K38">
        <v>92.934782608695656</v>
      </c>
      <c r="L38">
        <v>90.909090909090907</v>
      </c>
      <c r="M38">
        <v>96.078431372549019</v>
      </c>
      <c r="N38">
        <v>97.52066115702479</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100</v>
      </c>
      <c r="D39">
        <v>82</v>
      </c>
      <c r="E39">
        <v>84.130019120458883</v>
      </c>
      <c r="F39">
        <v>100</v>
      </c>
      <c r="G39">
        <v>75.510204081632651</v>
      </c>
      <c r="H39">
        <v>88.576779026217238</v>
      </c>
      <c r="I39">
        <v>50</v>
      </c>
      <c r="J39">
        <v>72.549019607843135</v>
      </c>
      <c r="K39">
        <v>88.325991189427313</v>
      </c>
      <c r="L39">
        <v>71.428571428571431</v>
      </c>
      <c r="M39">
        <v>76.153846153846146</v>
      </c>
      <c r="N39">
        <v>87.623762376237622</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100</v>
      </c>
      <c r="D40">
        <v>88.888888888888886</v>
      </c>
      <c r="E40">
        <v>88.495575221238937</v>
      </c>
      <c r="F40">
        <v>85.714285714285708</v>
      </c>
      <c r="G40">
        <v>94.73684210526315</v>
      </c>
      <c r="H40">
        <v>83.333333333333343</v>
      </c>
      <c r="I40">
        <v>100</v>
      </c>
      <c r="J40">
        <v>93.939393939393938</v>
      </c>
      <c r="K40">
        <v>85.436893203883486</v>
      </c>
      <c r="L40">
        <v>33.333333333333329</v>
      </c>
      <c r="M40">
        <v>81.395348837209298</v>
      </c>
      <c r="N40">
        <v>92.783505154639172</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80</v>
      </c>
      <c r="D41">
        <v>84.210526315789465</v>
      </c>
      <c r="E41">
        <v>91.666666666666657</v>
      </c>
      <c r="F41">
        <v>100</v>
      </c>
      <c r="G41">
        <v>76.19047619047619</v>
      </c>
      <c r="H41">
        <v>89.130434782608688</v>
      </c>
      <c r="I41">
        <v>0</v>
      </c>
      <c r="J41">
        <v>75.925925925925924</v>
      </c>
      <c r="K41">
        <v>88.421052631578945</v>
      </c>
      <c r="L41">
        <v>100</v>
      </c>
      <c r="M41">
        <v>93.548387096774192</v>
      </c>
      <c r="N41">
        <v>85.416666666666657</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90</v>
      </c>
      <c r="D42">
        <v>85</v>
      </c>
      <c r="E42">
        <v>96.721311475409834</v>
      </c>
      <c r="F42">
        <v>85.714285714285708</v>
      </c>
      <c r="G42">
        <v>91.428571428571431</v>
      </c>
      <c r="H42">
        <v>98.290598290598282</v>
      </c>
      <c r="I42">
        <v>66.666666666666657</v>
      </c>
      <c r="J42">
        <v>85.714285714285708</v>
      </c>
      <c r="K42">
        <v>99.009900990099013</v>
      </c>
      <c r="L42">
        <v>75</v>
      </c>
      <c r="M42">
        <v>84.615384615384613</v>
      </c>
      <c r="N42">
        <v>98.850574712643677</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90.243902439024396</v>
      </c>
      <c r="D43">
        <v>83.193277310924373</v>
      </c>
      <c r="E43">
        <v>92.989289191820831</v>
      </c>
      <c r="F43">
        <v>87.878787878787875</v>
      </c>
      <c r="G43">
        <v>86.505190311418687</v>
      </c>
      <c r="H43">
        <v>93.394495412844037</v>
      </c>
      <c r="I43">
        <v>95.238095238095227</v>
      </c>
      <c r="J43">
        <v>85.992217898832692</v>
      </c>
      <c r="K43">
        <v>94.165170556552951</v>
      </c>
      <c r="L43">
        <v>96.969696969696969</v>
      </c>
      <c r="M43">
        <v>86.909090909090907</v>
      </c>
      <c r="N43">
        <v>93.930041152263371</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93.333333333333329</v>
      </c>
      <c r="E44">
        <v>97.435897435897431</v>
      </c>
      <c r="F44">
        <v>100</v>
      </c>
      <c r="G44">
        <v>92</v>
      </c>
      <c r="H44">
        <v>96.36363636363636</v>
      </c>
      <c r="I44">
        <v>100</v>
      </c>
      <c r="J44">
        <v>90.909090909090907</v>
      </c>
      <c r="K44">
        <v>100</v>
      </c>
      <c r="L44">
        <v>100</v>
      </c>
      <c r="M44">
        <v>100</v>
      </c>
      <c r="N44">
        <v>97.435897435897431</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100</v>
      </c>
      <c r="D45">
        <v>100</v>
      </c>
      <c r="E45">
        <v>100</v>
      </c>
      <c r="F45">
        <v>100</v>
      </c>
      <c r="G45">
        <v>100</v>
      </c>
      <c r="H45">
        <v>100</v>
      </c>
      <c r="I45">
        <v>100</v>
      </c>
      <c r="J45">
        <v>100</v>
      </c>
      <c r="K45">
        <v>100</v>
      </c>
      <c r="L45">
        <v>93.75</v>
      </c>
      <c r="M45">
        <v>100</v>
      </c>
      <c r="N45">
        <v>100</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100</v>
      </c>
      <c r="D46">
        <v>84.693877551020407</v>
      </c>
      <c r="E46">
        <v>92.48554913294798</v>
      </c>
      <c r="F46">
        <v>75</v>
      </c>
      <c r="G46">
        <v>96.330275229357795</v>
      </c>
      <c r="H46">
        <v>97.109826589595372</v>
      </c>
      <c r="I46">
        <v>88.888888888888886</v>
      </c>
      <c r="J46">
        <v>92.391304347826093</v>
      </c>
      <c r="K46">
        <v>99.01477832512316</v>
      </c>
      <c r="L46">
        <v>100</v>
      </c>
      <c r="M46">
        <v>91.764705882352942</v>
      </c>
      <c r="N46">
        <v>94.240837696335078</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87.5</v>
      </c>
      <c r="D47">
        <v>83.098591549295776</v>
      </c>
      <c r="E47">
        <v>82.758620689655174</v>
      </c>
      <c r="F47">
        <v>100</v>
      </c>
      <c r="G47">
        <v>75.280898876404493</v>
      </c>
      <c r="H47">
        <v>83.253588516746419</v>
      </c>
      <c r="I47">
        <v>80</v>
      </c>
      <c r="J47">
        <v>85.483870967741936</v>
      </c>
      <c r="K47">
        <v>89.743589743589752</v>
      </c>
      <c r="L47">
        <v>100</v>
      </c>
      <c r="M47">
        <v>88.888888888888886</v>
      </c>
      <c r="N47">
        <v>94.936708860759495</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100</v>
      </c>
      <c r="D48">
        <v>85.60311284046692</v>
      </c>
      <c r="E48">
        <v>67.219917012448136</v>
      </c>
      <c r="F48">
        <v>100</v>
      </c>
      <c r="G48">
        <v>87.832699619771859</v>
      </c>
      <c r="H48">
        <v>63.076923076923073</v>
      </c>
      <c r="I48">
        <v>50</v>
      </c>
      <c r="J48">
        <v>76.666666666666671</v>
      </c>
      <c r="K48">
        <v>54.468085106382979</v>
      </c>
      <c r="L48">
        <v>50</v>
      </c>
      <c r="M48">
        <v>69.377990430622006</v>
      </c>
      <c r="N48">
        <v>46.666666666666664</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c r="D49">
        <v>88.235294117647058</v>
      </c>
      <c r="E49">
        <v>93.84615384615384</v>
      </c>
      <c r="F49">
        <v>100</v>
      </c>
      <c r="G49">
        <v>91.666666666666657</v>
      </c>
      <c r="H49">
        <v>95.161290322580655</v>
      </c>
      <c r="I49">
        <v>100</v>
      </c>
      <c r="J49">
        <v>64.285714285714292</v>
      </c>
      <c r="K49">
        <v>97.959183673469383</v>
      </c>
      <c r="L49">
        <v>66.666666666666657</v>
      </c>
      <c r="M49">
        <v>84.210526315789465</v>
      </c>
      <c r="N49">
        <v>90.476190476190482</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100</v>
      </c>
      <c r="D50">
        <v>83.050847457627114</v>
      </c>
      <c r="E50">
        <v>91.891891891891902</v>
      </c>
      <c r="F50">
        <v>100</v>
      </c>
      <c r="G50">
        <v>81.132075471698116</v>
      </c>
      <c r="H50">
        <v>87.692307692307693</v>
      </c>
      <c r="I50">
        <v>100</v>
      </c>
      <c r="J50">
        <v>77.083333333333343</v>
      </c>
      <c r="K50">
        <v>84.920634920634924</v>
      </c>
      <c r="L50">
        <v>88.888888888888886</v>
      </c>
      <c r="M50">
        <v>82.608695652173907</v>
      </c>
      <c r="N50">
        <v>96.256684491978604</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0</v>
      </c>
      <c r="D51">
        <v>35.294117647058826</v>
      </c>
      <c r="E51">
        <v>79.166666666666657</v>
      </c>
      <c r="F51">
        <v>0</v>
      </c>
      <c r="G51">
        <v>42.857142857142854</v>
      </c>
      <c r="H51">
        <v>88.63636363636364</v>
      </c>
      <c r="I51">
        <v>0</v>
      </c>
      <c r="J51">
        <v>50</v>
      </c>
      <c r="K51">
        <v>91.764705882352942</v>
      </c>
      <c r="L51">
        <v>66.666666666666657</v>
      </c>
      <c r="M51">
        <v>65.625</v>
      </c>
      <c r="N51">
        <v>95.945945945945937</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87.5</v>
      </c>
      <c r="D52">
        <v>84.782608695652172</v>
      </c>
      <c r="E52">
        <v>93.61702127659575</v>
      </c>
      <c r="F52">
        <v>87.5</v>
      </c>
      <c r="G52">
        <v>79.518072289156621</v>
      </c>
      <c r="H52">
        <v>92.774566473988443</v>
      </c>
      <c r="I52">
        <v>84.210526315789465</v>
      </c>
      <c r="J52">
        <v>86.40776699029125</v>
      </c>
      <c r="K52">
        <v>93.65558912386706</v>
      </c>
      <c r="L52">
        <v>88.461538461538453</v>
      </c>
      <c r="M52">
        <v>90.825688073394488</v>
      </c>
      <c r="N52">
        <v>94.025157232704402</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100</v>
      </c>
      <c r="D53">
        <v>91.304347826086953</v>
      </c>
      <c r="E53">
        <v>84.782608695652172</v>
      </c>
      <c r="F53">
        <v>100</v>
      </c>
      <c r="G53">
        <v>70</v>
      </c>
      <c r="H53">
        <v>91.666666666666657</v>
      </c>
      <c r="I53">
        <v>40</v>
      </c>
      <c r="J53">
        <v>85.074626865671647</v>
      </c>
      <c r="K53">
        <v>90.256410256410263</v>
      </c>
      <c r="L53">
        <v>100</v>
      </c>
      <c r="M53">
        <v>86.904761904761912</v>
      </c>
      <c r="N53">
        <v>94.088669950738918</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100</v>
      </c>
      <c r="D54">
        <v>72.38095238095238</v>
      </c>
      <c r="E54">
        <v>84.980237154150188</v>
      </c>
      <c r="F54">
        <v>83.333333333333343</v>
      </c>
      <c r="G54">
        <v>82.692307692307693</v>
      </c>
      <c r="H54">
        <v>93.589743589743591</v>
      </c>
      <c r="I54">
        <v>71.428571428571431</v>
      </c>
      <c r="J54">
        <v>76.923076923076934</v>
      </c>
      <c r="K54">
        <v>90.540540540540533</v>
      </c>
      <c r="L54">
        <v>88.888888888888886</v>
      </c>
      <c r="M54">
        <v>84.693877551020407</v>
      </c>
      <c r="N54">
        <v>92.936802973977692</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75</v>
      </c>
      <c r="D55">
        <v>75.609756097560975</v>
      </c>
      <c r="E55">
        <v>88.47926267281106</v>
      </c>
      <c r="F55">
        <v>100</v>
      </c>
      <c r="G55">
        <v>84.090909090909093</v>
      </c>
      <c r="H55">
        <v>81.105990783410135</v>
      </c>
      <c r="I55">
        <v>100</v>
      </c>
      <c r="J55">
        <v>87.804878048780495</v>
      </c>
      <c r="K55">
        <v>86.956521739130437</v>
      </c>
      <c r="L55">
        <v>75</v>
      </c>
      <c r="M55">
        <v>87.5</v>
      </c>
      <c r="N55">
        <v>90.990990990990994</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92.857142857142861</v>
      </c>
      <c r="D56">
        <v>89.010989010989007</v>
      </c>
      <c r="E56">
        <v>93.162393162393158</v>
      </c>
      <c r="F56">
        <v>90</v>
      </c>
      <c r="G56">
        <v>78.94736842105263</v>
      </c>
      <c r="H56">
        <v>93.574297188755011</v>
      </c>
      <c r="I56">
        <v>73.68421052631578</v>
      </c>
      <c r="J56">
        <v>81.609195402298852</v>
      </c>
      <c r="K56">
        <v>87.698412698412696</v>
      </c>
      <c r="L56">
        <v>92.857142857142861</v>
      </c>
      <c r="M56">
        <v>81.730769230769226</v>
      </c>
      <c r="N56">
        <v>79.615384615384613</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100</v>
      </c>
      <c r="D57">
        <v>84.037558685446015</v>
      </c>
      <c r="E57">
        <v>84.523809523809518</v>
      </c>
      <c r="F57">
        <v>93.103448275862064</v>
      </c>
      <c r="G57">
        <v>83.333333333333343</v>
      </c>
      <c r="H57">
        <v>83.606557377049185</v>
      </c>
      <c r="I57">
        <v>96.551724137931032</v>
      </c>
      <c r="J57">
        <v>81.920903954802256</v>
      </c>
      <c r="K57">
        <v>81.609195402298852</v>
      </c>
      <c r="L57">
        <v>90.909090909090907</v>
      </c>
      <c r="M57">
        <v>84.239130434782609</v>
      </c>
      <c r="N57">
        <v>90.625</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91.666666666666657</v>
      </c>
      <c r="D58">
        <v>91.818181818181827</v>
      </c>
      <c r="E58">
        <v>87.635574837310187</v>
      </c>
      <c r="F58">
        <v>92.307692307692307</v>
      </c>
      <c r="G58">
        <v>83.78378378378379</v>
      </c>
      <c r="H58">
        <v>88.753056234718827</v>
      </c>
      <c r="I58">
        <v>87.5</v>
      </c>
      <c r="J58">
        <v>90.298507462686572</v>
      </c>
      <c r="K58">
        <v>91.825613079019078</v>
      </c>
      <c r="L58">
        <v>100</v>
      </c>
      <c r="M58">
        <v>89.763779527559052</v>
      </c>
      <c r="N58">
        <v>87.5</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100</v>
      </c>
      <c r="D59">
        <v>92.307692307692307</v>
      </c>
      <c r="E59">
        <v>87.179487179487182</v>
      </c>
      <c r="F59">
        <v>100</v>
      </c>
      <c r="G59">
        <v>86.206896551724128</v>
      </c>
      <c r="H59">
        <v>80.327868852459019</v>
      </c>
      <c r="I59">
        <v>100</v>
      </c>
      <c r="J59">
        <v>74.193548387096769</v>
      </c>
      <c r="K59">
        <v>83.870967741935488</v>
      </c>
      <c r="L59">
        <v>60</v>
      </c>
      <c r="M59">
        <v>95.652173913043484</v>
      </c>
      <c r="N59">
        <v>90.476190476190482</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100</v>
      </c>
      <c r="D60">
        <v>80</v>
      </c>
      <c r="E60">
        <v>84.768211920529808</v>
      </c>
      <c r="F60">
        <v>85.714285714285708</v>
      </c>
      <c r="G60">
        <v>80.851063829787222</v>
      </c>
      <c r="H60">
        <v>82.978723404255319</v>
      </c>
      <c r="I60">
        <v>100</v>
      </c>
      <c r="J60">
        <v>90.566037735849065</v>
      </c>
      <c r="K60">
        <v>90.957446808510639</v>
      </c>
      <c r="L60">
        <v>100</v>
      </c>
      <c r="M60">
        <v>87.654320987654316</v>
      </c>
      <c r="N60">
        <v>90.045248868778287</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85.714285714285708</v>
      </c>
      <c r="D61">
        <v>100</v>
      </c>
      <c r="E61">
        <v>99.159663865546221</v>
      </c>
      <c r="F61">
        <v>50</v>
      </c>
      <c r="G61">
        <v>98</v>
      </c>
      <c r="H61">
        <v>100</v>
      </c>
      <c r="I61">
        <v>100</v>
      </c>
      <c r="J61">
        <v>94.230769230769226</v>
      </c>
      <c r="K61">
        <v>99.009900990099013</v>
      </c>
      <c r="L61">
        <v>100</v>
      </c>
      <c r="M61">
        <v>98.039215686274503</v>
      </c>
      <c r="N61">
        <v>100</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100</v>
      </c>
      <c r="E62">
        <v>98.387096774193552</v>
      </c>
      <c r="F62">
        <v>100</v>
      </c>
      <c r="G62">
        <v>100</v>
      </c>
      <c r="H62">
        <v>98.550724637681171</v>
      </c>
      <c r="I62">
        <v>100</v>
      </c>
      <c r="J62">
        <v>95</v>
      </c>
      <c r="K62">
        <v>96.15384615384616</v>
      </c>
      <c r="L62">
        <v>100</v>
      </c>
      <c r="M62">
        <v>81.818181818181827</v>
      </c>
      <c r="N62">
        <v>85.964912280701753</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v>
      </c>
      <c r="E63">
        <v>95.87155963302753</v>
      </c>
      <c r="F63">
        <v>100</v>
      </c>
      <c r="G63">
        <v>99.038461538461547</v>
      </c>
      <c r="H63">
        <v>98.850574712643677</v>
      </c>
      <c r="I63">
        <v>100</v>
      </c>
      <c r="J63">
        <v>94.666666666666671</v>
      </c>
      <c r="K63">
        <v>96.875</v>
      </c>
      <c r="L63">
        <v>100</v>
      </c>
      <c r="M63">
        <v>95.890410958904098</v>
      </c>
      <c r="N63">
        <v>98.930481283422452</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86.842105263157904</v>
      </c>
      <c r="D64">
        <v>83.591331269349851</v>
      </c>
      <c r="E64">
        <v>88.277511961722482</v>
      </c>
      <c r="F64">
        <v>71.428571428571431</v>
      </c>
      <c r="G64">
        <v>81.851179673321241</v>
      </c>
      <c r="H64">
        <v>90.897908979089792</v>
      </c>
      <c r="I64">
        <v>62.068965517241381</v>
      </c>
      <c r="J64">
        <v>54.343807763401109</v>
      </c>
      <c r="K64">
        <v>89.577836411609496</v>
      </c>
      <c r="L64">
        <v>87.878787878787875</v>
      </c>
      <c r="M64">
        <v>86.713286713286706</v>
      </c>
      <c r="N64">
        <v>89.226519337016569</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80</v>
      </c>
      <c r="D65">
        <v>80.701754385964904</v>
      </c>
      <c r="E65">
        <v>76.245210727969351</v>
      </c>
      <c r="F65">
        <v>100</v>
      </c>
      <c r="G65">
        <v>90.721649484536087</v>
      </c>
      <c r="H65">
        <v>84.210526315789465</v>
      </c>
      <c r="I65">
        <v>93.333333333333329</v>
      </c>
      <c r="J65">
        <v>86.956521739130437</v>
      </c>
      <c r="K65">
        <v>85.121107266435985</v>
      </c>
      <c r="L65">
        <v>71.428571428571431</v>
      </c>
      <c r="M65">
        <v>86.734693877551024</v>
      </c>
      <c r="N65">
        <v>88.537549407114625</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100</v>
      </c>
      <c r="D66">
        <v>88.235294117647058</v>
      </c>
      <c r="E66">
        <v>92.268041237113408</v>
      </c>
      <c r="F66">
        <v>100</v>
      </c>
      <c r="G66">
        <v>95.454545454545453</v>
      </c>
      <c r="H66">
        <v>95.798319327731093</v>
      </c>
      <c r="I66">
        <v>90.909090909090907</v>
      </c>
      <c r="J66">
        <v>89.010989010989007</v>
      </c>
      <c r="K66">
        <v>97.959183673469383</v>
      </c>
      <c r="L66">
        <v>95</v>
      </c>
      <c r="M66">
        <v>84.444444444444443</v>
      </c>
      <c r="N66">
        <v>96.666666666666671</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c r="D67">
        <v>85.714285714285708</v>
      </c>
      <c r="E67">
        <v>77.777777777777786</v>
      </c>
      <c r="F67">
        <v>50</v>
      </c>
      <c r="G67">
        <v>100</v>
      </c>
      <c r="H67">
        <v>77.358490566037744</v>
      </c>
      <c r="I67">
        <v>100</v>
      </c>
      <c r="J67">
        <v>100</v>
      </c>
      <c r="K67">
        <v>80.357142857142861</v>
      </c>
      <c r="L67">
        <v>100</v>
      </c>
      <c r="M67">
        <v>66.666666666666657</v>
      </c>
      <c r="N67">
        <v>91.304347826086953</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71.689497716894977</v>
      </c>
      <c r="E68">
        <v>88.825214899713473</v>
      </c>
      <c r="F68">
        <v>100</v>
      </c>
      <c r="G68">
        <v>80.874316939890718</v>
      </c>
      <c r="H68">
        <v>89.783281733746136</v>
      </c>
      <c r="I68">
        <v>100</v>
      </c>
      <c r="J68">
        <v>77.514792899408278</v>
      </c>
      <c r="K68">
        <v>91.319444444444443</v>
      </c>
      <c r="L68">
        <v>100</v>
      </c>
      <c r="M68">
        <v>73.714285714285708</v>
      </c>
      <c r="N68">
        <v>87.90035587188612</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c r="D69"/>
      <c r="E69"/>
      <c r="F69">
        <v>84.615384615384613</v>
      </c>
      <c r="G69">
        <v>85.826771653543304</v>
      </c>
      <c r="H69">
        <v>85.645933014354071</v>
      </c>
      <c r="I69">
        <v>83.333333333333343</v>
      </c>
      <c r="J69">
        <v>89.928057553956833</v>
      </c>
      <c r="K69">
        <v>90.14778325123153</v>
      </c>
      <c r="L69">
        <v>88.235294117647058</v>
      </c>
      <c r="M69">
        <v>90.598290598290603</v>
      </c>
      <c r="N69">
        <v>85.638297872340431</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80</v>
      </c>
      <c r="D70">
        <v>57.446808510638306</v>
      </c>
      <c r="E70">
        <v>85.60311284046692</v>
      </c>
      <c r="F70">
        <v>100</v>
      </c>
      <c r="G70">
        <v>72.549019607843135</v>
      </c>
      <c r="H70">
        <v>80.09478672985783</v>
      </c>
      <c r="I70">
        <v>100</v>
      </c>
      <c r="J70">
        <v>71.739130434782609</v>
      </c>
      <c r="K70">
        <v>80.753138075313814</v>
      </c>
      <c r="L70">
        <v>83.333333333333343</v>
      </c>
      <c r="M70">
        <v>76.923076923076934</v>
      </c>
      <c r="N70">
        <v>85.253456221198149</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100</v>
      </c>
      <c r="D71">
        <v>78.571428571428569</v>
      </c>
      <c r="E71">
        <v>87.179487179487182</v>
      </c>
      <c r="F71">
        <v>50</v>
      </c>
      <c r="G71">
        <v>84.848484848484844</v>
      </c>
      <c r="H71">
        <v>96.470588235294116</v>
      </c>
      <c r="I71">
        <v>80</v>
      </c>
      <c r="J71">
        <v>92.5</v>
      </c>
      <c r="K71">
        <v>98.71794871794873</v>
      </c>
      <c r="L71">
        <v>80</v>
      </c>
      <c r="M71">
        <v>96.875</v>
      </c>
      <c r="N71">
        <v>98.571428571428584</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80</v>
      </c>
      <c r="D72">
        <v>77.41935483870968</v>
      </c>
      <c r="E72">
        <v>81.651376146788991</v>
      </c>
      <c r="F72">
        <v>100</v>
      </c>
      <c r="G72">
        <v>83.333333333333343</v>
      </c>
      <c r="H72">
        <v>92.805755395683448</v>
      </c>
      <c r="I72">
        <v>100</v>
      </c>
      <c r="J72">
        <v>95.652173913043484</v>
      </c>
      <c r="K72">
        <v>87.850467289719631</v>
      </c>
      <c r="L72">
        <v>100</v>
      </c>
      <c r="M72">
        <v>81.481481481481481</v>
      </c>
      <c r="N72">
        <v>92.233009708737868</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100</v>
      </c>
      <c r="D73">
        <v>87.755102040816325</v>
      </c>
      <c r="E73">
        <v>82.629107981220656</v>
      </c>
      <c r="F73">
        <v>90.909090909090907</v>
      </c>
      <c r="G73">
        <v>76.923076923076934</v>
      </c>
      <c r="H73">
        <v>81.4070351758794</v>
      </c>
      <c r="I73">
        <v>88.235294117647058</v>
      </c>
      <c r="J73">
        <v>94.117647058823522</v>
      </c>
      <c r="K73">
        <v>92.2279792746114</v>
      </c>
      <c r="L73">
        <v>100</v>
      </c>
      <c r="M73">
        <v>82.089552238805979</v>
      </c>
      <c r="N73">
        <v>91.219512195121951</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100</v>
      </c>
      <c r="D74">
        <v>83.333333333333343</v>
      </c>
      <c r="E74">
        <v>85.365853658536579</v>
      </c>
      <c r="F74">
        <v>100</v>
      </c>
      <c r="G74">
        <v>84.745762711864401</v>
      </c>
      <c r="H74">
        <v>92.391304347826093</v>
      </c>
      <c r="I74">
        <v>100</v>
      </c>
      <c r="J74">
        <v>85.483870967741936</v>
      </c>
      <c r="K74">
        <v>94.117647058823522</v>
      </c>
      <c r="L74">
        <v>100</v>
      </c>
      <c r="M74">
        <v>88.135593220338976</v>
      </c>
      <c r="N74">
        <v>88.63636363636364</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83.333333333333343</v>
      </c>
      <c r="D75">
        <v>85.585585585585591</v>
      </c>
      <c r="E75">
        <v>88.571428571428569</v>
      </c>
      <c r="F75">
        <v>93.103448275862064</v>
      </c>
      <c r="G75">
        <v>87.5</v>
      </c>
      <c r="H75">
        <v>90.909090909090907</v>
      </c>
      <c r="I75">
        <v>88.888888888888886</v>
      </c>
      <c r="J75">
        <v>92</v>
      </c>
      <c r="K75">
        <v>84.415584415584405</v>
      </c>
      <c r="L75">
        <v>93.75</v>
      </c>
      <c r="M75">
        <v>89.600000000000009</v>
      </c>
      <c r="N75">
        <v>89.423076923076934</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91.666666666666657</v>
      </c>
      <c r="D76">
        <v>86.486486486486484</v>
      </c>
      <c r="E76">
        <v>85.714285714285708</v>
      </c>
      <c r="F76">
        <v>96</v>
      </c>
      <c r="G76">
        <v>86.666666666666671</v>
      </c>
      <c r="H76">
        <v>88.971962616822424</v>
      </c>
      <c r="I76">
        <v>92.307692307692307</v>
      </c>
      <c r="J76">
        <v>82.329317269076313</v>
      </c>
      <c r="K76">
        <v>87.027027027027032</v>
      </c>
      <c r="L76">
        <v>85.714285714285708</v>
      </c>
      <c r="M76">
        <v>84.848484848484844</v>
      </c>
      <c r="N76">
        <v>88.791593695271459</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73.333333333333329</v>
      </c>
      <c r="D77">
        <v>89.830508474576277</v>
      </c>
      <c r="E77">
        <v>90.566037735849065</v>
      </c>
      <c r="F77">
        <v>84.615384615384613</v>
      </c>
      <c r="G77">
        <v>85.294117647058826</v>
      </c>
      <c r="H77">
        <v>93.220338983050837</v>
      </c>
      <c r="I77">
        <v>90</v>
      </c>
      <c r="J77">
        <v>80.851063829787222</v>
      </c>
      <c r="K77">
        <v>91.19496855345912</v>
      </c>
      <c r="L77">
        <v>83.333333333333343</v>
      </c>
      <c r="M77">
        <v>87.301587301587304</v>
      </c>
      <c r="N77">
        <v>93.023255813953483</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100</v>
      </c>
      <c r="D78">
        <v>96.296296296296291</v>
      </c>
      <c r="E78">
        <v>96.341463414634148</v>
      </c>
      <c r="F78">
        <v>90</v>
      </c>
      <c r="G78">
        <v>87.037037037037038</v>
      </c>
      <c r="H78">
        <v>94.581280788177338</v>
      </c>
      <c r="I78">
        <v>77.777777777777786</v>
      </c>
      <c r="J78">
        <v>91.891891891891902</v>
      </c>
      <c r="K78">
        <v>93.939393939393938</v>
      </c>
      <c r="L78">
        <v>87.5</v>
      </c>
      <c r="M78">
        <v>82.051282051282044</v>
      </c>
      <c r="N78">
        <v>78.698224852071007</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88.235294117647058</v>
      </c>
      <c r="D79">
        <v>86.178861788617894</v>
      </c>
      <c r="E79">
        <v>87.037037037037038</v>
      </c>
      <c r="F79">
        <v>91.17647058823529</v>
      </c>
      <c r="G79">
        <v>89.622641509433961</v>
      </c>
      <c r="H79">
        <v>83.962264150943398</v>
      </c>
      <c r="I79">
        <v>76.19047619047619</v>
      </c>
      <c r="J79">
        <v>85.714285714285708</v>
      </c>
      <c r="K79">
        <v>88.571428571428569</v>
      </c>
      <c r="L79">
        <v>96.15384615384616</v>
      </c>
      <c r="M79">
        <v>82.706766917293223</v>
      </c>
      <c r="N79">
        <v>91.977077363896854</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95.762711864406782</v>
      </c>
      <c r="E80">
        <v>96.978851963746223</v>
      </c>
      <c r="F80">
        <v>100</v>
      </c>
      <c r="G80">
        <v>99.519230769230774</v>
      </c>
      <c r="H80">
        <v>98.571428571428584</v>
      </c>
      <c r="I80">
        <v>100</v>
      </c>
      <c r="J80">
        <v>97.448979591836732</v>
      </c>
      <c r="K80">
        <v>98.113207547169807</v>
      </c>
      <c r="L80">
        <v>100</v>
      </c>
      <c r="M80">
        <v>99.465240641711233</v>
      </c>
      <c r="N80">
        <v>99.003322259136212</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90.909090909090907</v>
      </c>
      <c r="D81">
        <v>83.050847457627114</v>
      </c>
      <c r="E81">
        <v>91.869918699186996</v>
      </c>
      <c r="F81">
        <v>100</v>
      </c>
      <c r="G81">
        <v>88.059701492537314</v>
      </c>
      <c r="H81">
        <v>95.890410958904098</v>
      </c>
      <c r="I81">
        <v>100</v>
      </c>
      <c r="J81">
        <v>95.161290322580655</v>
      </c>
      <c r="K81">
        <v>94.399999999999991</v>
      </c>
      <c r="L81">
        <v>100</v>
      </c>
      <c r="M81">
        <v>94.915254237288138</v>
      </c>
      <c r="N81">
        <v>95.744680851063833</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41.666666666666671</v>
      </c>
      <c r="D82">
        <v>60</v>
      </c>
      <c r="E82">
        <v>67.615658362989322</v>
      </c>
      <c r="F82">
        <v>60</v>
      </c>
      <c r="G82">
        <v>69.7841726618705</v>
      </c>
      <c r="H82">
        <v>72.659176029962552</v>
      </c>
      <c r="I82">
        <v>76.923076923076934</v>
      </c>
      <c r="J82">
        <v>81.481481481481481</v>
      </c>
      <c r="K82">
        <v>74.528301886792448</v>
      </c>
      <c r="L82">
        <v>60</v>
      </c>
      <c r="M82">
        <v>82.142857142857139</v>
      </c>
      <c r="N82">
        <v>74.903474903474901</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100</v>
      </c>
      <c r="D83">
        <v>86.956521739130437</v>
      </c>
      <c r="E83">
        <v>72.5</v>
      </c>
      <c r="F83">
        <v>62.5</v>
      </c>
      <c r="G83">
        <v>70.212765957446805</v>
      </c>
      <c r="H83">
        <v>81.147540983606561</v>
      </c>
      <c r="I83">
        <v>80</v>
      </c>
      <c r="J83">
        <v>73.68421052631578</v>
      </c>
      <c r="K83">
        <v>91.279069767441854</v>
      </c>
      <c r="L83">
        <v>100</v>
      </c>
      <c r="M83">
        <v>88.888888888888886</v>
      </c>
      <c r="N83">
        <v>88.421052631578945</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50</v>
      </c>
      <c r="D84">
        <v>61.904761904761905</v>
      </c>
      <c r="E84">
        <v>70.523415977961434</v>
      </c>
      <c r="F84">
        <v>66.666666666666657</v>
      </c>
      <c r="G84">
        <v>78.571428571428569</v>
      </c>
      <c r="H84">
        <v>86.461538461538453</v>
      </c>
      <c r="I84">
        <v>71.428571428571431</v>
      </c>
      <c r="J84">
        <v>75.824175824175825</v>
      </c>
      <c r="K84">
        <v>86.348122866894201</v>
      </c>
      <c r="L84">
        <v>80</v>
      </c>
      <c r="M84">
        <v>85.714285714285708</v>
      </c>
      <c r="N84">
        <v>89.610389610389603</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66.666666666666657</v>
      </c>
      <c r="D85">
        <v>80.412371134020617</v>
      </c>
      <c r="E85">
        <v>77.914110429447859</v>
      </c>
      <c r="F85">
        <v>76.19047619047619</v>
      </c>
      <c r="G85">
        <v>73.80952380952381</v>
      </c>
      <c r="H85">
        <v>86.754966887417211</v>
      </c>
      <c r="I85">
        <v>55.000000000000007</v>
      </c>
      <c r="J85">
        <v>75.862068965517238</v>
      </c>
      <c r="K85">
        <v>83.766233766233768</v>
      </c>
      <c r="L85">
        <v>71.428571428571431</v>
      </c>
      <c r="M85">
        <v>73.40425531914893</v>
      </c>
      <c r="N85">
        <v>85.333333333333343</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94.117647058823522</v>
      </c>
      <c r="D86">
        <v>93.401015228426402</v>
      </c>
      <c r="E86">
        <v>93.841642228739005</v>
      </c>
      <c r="F86">
        <v>97.058823529411768</v>
      </c>
      <c r="G86">
        <v>86.069651741293526</v>
      </c>
      <c r="H86">
        <v>94.019933554817285</v>
      </c>
      <c r="I86">
        <v>94.594594594594597</v>
      </c>
      <c r="J86">
        <v>87.7659574468085</v>
      </c>
      <c r="K86">
        <v>93.235294117647058</v>
      </c>
      <c r="L86">
        <v>89.285714285714292</v>
      </c>
      <c r="M86">
        <v>87.951807228915655</v>
      </c>
      <c r="N86">
        <v>93.548387096774192</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90.740740740740748</v>
      </c>
      <c r="E87">
        <v>88.288288288288285</v>
      </c>
      <c r="F87">
        <v>100</v>
      </c>
      <c r="G87">
        <v>96.296296296296291</v>
      </c>
      <c r="H87">
        <v>94.117647058823522</v>
      </c>
      <c r="I87">
        <v>100</v>
      </c>
      <c r="J87">
        <v>96.078431372549019</v>
      </c>
      <c r="K87">
        <v>96.062992125984252</v>
      </c>
      <c r="L87">
        <v>71.428571428571431</v>
      </c>
      <c r="M87">
        <v>91.489361702127653</v>
      </c>
      <c r="N87">
        <v>90.510948905109487</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88.235294117647058</v>
      </c>
      <c r="D88">
        <v>74.452554744525543</v>
      </c>
      <c r="E88">
        <v>77.295918367346943</v>
      </c>
      <c r="F88">
        <v>100</v>
      </c>
      <c r="G88">
        <v>74.81481481481481</v>
      </c>
      <c r="H88">
        <v>79.896907216494853</v>
      </c>
      <c r="I88">
        <v>81.818181818181827</v>
      </c>
      <c r="J88">
        <v>71.532846715328475</v>
      </c>
      <c r="K88">
        <v>80.047505938242281</v>
      </c>
      <c r="L88">
        <v>87.5</v>
      </c>
      <c r="M88">
        <v>71.755725190839698</v>
      </c>
      <c r="N88">
        <v>73.91304347826086</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86.36363636363636</v>
      </c>
      <c r="E89">
        <v>97.916666666666657</v>
      </c>
      <c r="F89">
        <v>100</v>
      </c>
      <c r="G89">
        <v>70.588235294117652</v>
      </c>
      <c r="H89">
        <v>91.111111111111114</v>
      </c>
      <c r="I89">
        <v>100</v>
      </c>
      <c r="J89">
        <v>70.967741935483872</v>
      </c>
      <c r="K89">
        <v>90.196078431372555</v>
      </c>
      <c r="L89"/>
      <c r="M89">
        <v>80</v>
      </c>
      <c r="N89">
        <v>81.081081081081081</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80.769230769230774</v>
      </c>
      <c r="E90">
        <v>96.666666666666671</v>
      </c>
      <c r="F90">
        <v>100</v>
      </c>
      <c r="G90">
        <v>84.615384615384613</v>
      </c>
      <c r="H90">
        <v>98.4375</v>
      </c>
      <c r="I90">
        <v>100</v>
      </c>
      <c r="J90">
        <v>83.78378378378379</v>
      </c>
      <c r="K90">
        <v>92.156862745098039</v>
      </c>
      <c r="L90">
        <v>100</v>
      </c>
      <c r="M90">
        <v>90.476190476190482</v>
      </c>
      <c r="N90">
        <v>96.330275229357795</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100</v>
      </c>
      <c r="D91">
        <v>84.705882352941174</v>
      </c>
      <c r="E91">
        <v>87.908496732026137</v>
      </c>
      <c r="F91">
        <v>71.428571428571431</v>
      </c>
      <c r="G91">
        <v>84.905660377358487</v>
      </c>
      <c r="H91">
        <v>81.456953642384107</v>
      </c>
      <c r="I91">
        <v>100</v>
      </c>
      <c r="J91">
        <v>82.828282828282823</v>
      </c>
      <c r="K91">
        <v>82.727272727272734</v>
      </c>
      <c r="L91">
        <v>100</v>
      </c>
      <c r="M91">
        <v>89.215686274509807</v>
      </c>
      <c r="N91">
        <v>87.5</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100</v>
      </c>
      <c r="D92">
        <v>94.262295081967224</v>
      </c>
      <c r="E92">
        <v>93.470790378006868</v>
      </c>
      <c r="F92">
        <v>100</v>
      </c>
      <c r="G92">
        <v>69.791666666666657</v>
      </c>
      <c r="H92">
        <v>77.528089887640448</v>
      </c>
      <c r="I92">
        <v>57.142857142857139</v>
      </c>
      <c r="J92">
        <v>68.518518518518519</v>
      </c>
      <c r="K92">
        <v>84.333333333333343</v>
      </c>
      <c r="L92">
        <v>75</v>
      </c>
      <c r="M92">
        <v>70.399999999999991</v>
      </c>
      <c r="N92">
        <v>85.882352941176464</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100</v>
      </c>
      <c r="D93">
        <v>73.529411764705884</v>
      </c>
      <c r="E93">
        <v>70.695970695970701</v>
      </c>
      <c r="F93">
        <v>100</v>
      </c>
      <c r="G93">
        <v>80.459770114942529</v>
      </c>
      <c r="H93">
        <v>88.356164383561648</v>
      </c>
      <c r="I93">
        <v>100</v>
      </c>
      <c r="J93">
        <v>82.35294117647058</v>
      </c>
      <c r="K93">
        <v>78.90625</v>
      </c>
      <c r="L93">
        <v>100</v>
      </c>
      <c r="M93">
        <v>76.923076923076934</v>
      </c>
      <c r="N93">
        <v>73.770491803278688</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90.476190476190482</v>
      </c>
      <c r="E94">
        <v>97.122302158273371</v>
      </c>
      <c r="F94">
        <v>100</v>
      </c>
      <c r="G94">
        <v>87.5</v>
      </c>
      <c r="H94">
        <v>96.969696969696969</v>
      </c>
      <c r="I94">
        <v>100</v>
      </c>
      <c r="J94">
        <v>80</v>
      </c>
      <c r="K94">
        <v>92.36641221374046</v>
      </c>
      <c r="L94">
        <v>100</v>
      </c>
      <c r="M94">
        <v>87.5</v>
      </c>
      <c r="N94">
        <v>90.598290598290603</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85.294117647058826</v>
      </c>
      <c r="E95">
        <v>87.323943661971825</v>
      </c>
      <c r="F95">
        <v>100</v>
      </c>
      <c r="G95">
        <v>84</v>
      </c>
      <c r="H95">
        <v>90.816326530612244</v>
      </c>
      <c r="I95">
        <v>100</v>
      </c>
      <c r="J95">
        <v>79.411764705882348</v>
      </c>
      <c r="K95">
        <v>78.94736842105263</v>
      </c>
      <c r="L95">
        <v>100</v>
      </c>
      <c r="M95">
        <v>94.444444444444443</v>
      </c>
      <c r="N95">
        <v>92.5</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88.888888888888886</v>
      </c>
      <c r="D96">
        <v>61.53846153846154</v>
      </c>
      <c r="E96">
        <v>74.796747967479675</v>
      </c>
      <c r="F96">
        <v>87.5</v>
      </c>
      <c r="G96">
        <v>85</v>
      </c>
      <c r="H96">
        <v>88.888888888888886</v>
      </c>
      <c r="I96">
        <v>85.714285714285708</v>
      </c>
      <c r="J96">
        <v>75</v>
      </c>
      <c r="K96">
        <v>91.17647058823529</v>
      </c>
      <c r="L96">
        <v>100</v>
      </c>
      <c r="M96">
        <v>73.68421052631578</v>
      </c>
      <c r="N96">
        <v>89.908256880733944</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100</v>
      </c>
      <c r="E97">
        <v>98.473282442748086</v>
      </c>
      <c r="F97">
        <v>100</v>
      </c>
      <c r="G97">
        <v>97.058823529411768</v>
      </c>
      <c r="H97">
        <v>100</v>
      </c>
      <c r="I97">
        <v>100</v>
      </c>
      <c r="J97">
        <v>100</v>
      </c>
      <c r="K97">
        <v>100</v>
      </c>
      <c r="L97">
        <v>100</v>
      </c>
      <c r="M97">
        <v>96.774193548387103</v>
      </c>
      <c r="N97">
        <v>100</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72.727272727272734</v>
      </c>
      <c r="D98">
        <v>60.526315789473685</v>
      </c>
      <c r="E98">
        <v>80</v>
      </c>
      <c r="F98">
        <v>77.777777777777786</v>
      </c>
      <c r="G98">
        <v>51.020408163265309</v>
      </c>
      <c r="H98">
        <v>85.964912280701753</v>
      </c>
      <c r="I98">
        <v>100</v>
      </c>
      <c r="J98">
        <v>68.539325842696627</v>
      </c>
      <c r="K98">
        <v>85.714285714285708</v>
      </c>
      <c r="L98">
        <v>90.909090909090907</v>
      </c>
      <c r="M98">
        <v>76.543209876543202</v>
      </c>
      <c r="N98">
        <v>85.483870967741936</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75</v>
      </c>
      <c r="D99">
        <v>91.111111111111114</v>
      </c>
      <c r="E99">
        <v>93.055555555555557</v>
      </c>
      <c r="F99">
        <v>100</v>
      </c>
      <c r="G99">
        <v>84.848484848484844</v>
      </c>
      <c r="H99">
        <v>94.573643410852711</v>
      </c>
      <c r="I99">
        <v>100</v>
      </c>
      <c r="J99">
        <v>92.307692307692307</v>
      </c>
      <c r="K99">
        <v>95.934959349593498</v>
      </c>
      <c r="L99">
        <v>100</v>
      </c>
      <c r="M99">
        <v>85.9375</v>
      </c>
      <c r="N99">
        <v>94.545454545454547</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90.243902439024396</v>
      </c>
      <c r="E100">
        <v>91.34615384615384</v>
      </c>
      <c r="F100">
        <v>100</v>
      </c>
      <c r="G100">
        <v>96.610169491525426</v>
      </c>
      <c r="H100">
        <v>92</v>
      </c>
      <c r="I100">
        <v>100</v>
      </c>
      <c r="J100">
        <v>89.0625</v>
      </c>
      <c r="K100">
        <v>89.65517241379311</v>
      </c>
      <c r="L100">
        <v>100</v>
      </c>
      <c r="M100">
        <v>91.780821917808225</v>
      </c>
      <c r="N100">
        <v>94.318181818181827</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50</v>
      </c>
      <c r="D101">
        <v>95.652173913043484</v>
      </c>
      <c r="E101">
        <v>100</v>
      </c>
      <c r="F101">
        <v>100</v>
      </c>
      <c r="G101">
        <v>87.878787878787875</v>
      </c>
      <c r="H101">
        <v>97.560975609756099</v>
      </c>
      <c r="I101">
        <v>85.714285714285708</v>
      </c>
      <c r="J101">
        <v>91.666666666666657</v>
      </c>
      <c r="K101">
        <v>97.435897435897431</v>
      </c>
      <c r="L101">
        <v>80</v>
      </c>
      <c r="M101">
        <v>100</v>
      </c>
      <c r="N101">
        <v>100</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95</v>
      </c>
      <c r="E102">
        <v>92.156862745098039</v>
      </c>
      <c r="F102">
        <v>100</v>
      </c>
      <c r="G102">
        <v>92</v>
      </c>
      <c r="H102">
        <v>91.489361702127653</v>
      </c>
      <c r="I102">
        <v>100</v>
      </c>
      <c r="J102">
        <v>90.909090909090907</v>
      </c>
      <c r="K102">
        <v>88.372093023255815</v>
      </c>
      <c r="L102">
        <v>100</v>
      </c>
      <c r="M102">
        <v>97.560975609756099</v>
      </c>
      <c r="N102">
        <v>84.112149532710276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85.714285714285708</v>
      </c>
      <c r="E103">
        <v>79.816513761467888</v>
      </c>
      <c r="F103">
        <v>100</v>
      </c>
      <c r="G103">
        <v>73.333333333333329</v>
      </c>
      <c r="H103">
        <v>80.172413793103445</v>
      </c>
      <c r="I103">
        <v>100</v>
      </c>
      <c r="J103">
        <v>79.310344827586206</v>
      </c>
      <c r="K103">
        <v>88.775510204081627</v>
      </c>
      <c r="L103">
        <v>100</v>
      </c>
      <c r="M103">
        <v>80</v>
      </c>
      <c r="N103">
        <v>94.680851063829792</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c r="D104">
        <v>85.714285714285708</v>
      </c>
      <c r="E104">
        <v>86.956521739130437</v>
      </c>
      <c r="F104">
        <v>100</v>
      </c>
      <c r="G104">
        <v>85.714285714285708</v>
      </c>
      <c r="H104">
        <v>84.466019417475721</v>
      </c>
      <c r="I104">
        <v>100</v>
      </c>
      <c r="J104">
        <v>93.548387096774192</v>
      </c>
      <c r="K104">
        <v>89.565217391304358</v>
      </c>
      <c r="L104">
        <v>100</v>
      </c>
      <c r="M104">
        <v>78.571428571428569</v>
      </c>
      <c r="N104">
        <v>81.012658227848107</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c r="D105">
        <v>87.5</v>
      </c>
      <c r="E105">
        <v>93.333333333333329</v>
      </c>
      <c r="F105">
        <v>100</v>
      </c>
      <c r="G105">
        <v>100</v>
      </c>
      <c r="H105">
        <v>89.285714285714292</v>
      </c>
      <c r="I105">
        <v>100</v>
      </c>
      <c r="J105">
        <v>85.714285714285708</v>
      </c>
      <c r="K105">
        <v>96.15384615384616</v>
      </c>
      <c r="L105"/>
      <c r="M105">
        <v>100</v>
      </c>
      <c r="N105">
        <v>100</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71.428571428571431</v>
      </c>
      <c r="D106">
        <v>94.73684210526315</v>
      </c>
      <c r="E106">
        <v>93.984962406015043</v>
      </c>
      <c r="F106">
        <v>100</v>
      </c>
      <c r="G106">
        <v>97.368421052631575</v>
      </c>
      <c r="H106">
        <v>96.710526315789465</v>
      </c>
      <c r="I106">
        <v>100</v>
      </c>
      <c r="J106">
        <v>93.103448275862064</v>
      </c>
      <c r="K106">
        <v>94.615384615384613</v>
      </c>
      <c r="L106">
        <v>83.333333333333343</v>
      </c>
      <c r="M106">
        <v>100</v>
      </c>
      <c r="N106">
        <v>94.214876033057848</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88.63636363636364</v>
      </c>
      <c r="E107">
        <v>80.645161290322577</v>
      </c>
      <c r="F107">
        <v>100</v>
      </c>
      <c r="G107">
        <v>92.857142857142861</v>
      </c>
      <c r="H107">
        <v>75</v>
      </c>
      <c r="I107">
        <v>100</v>
      </c>
      <c r="J107">
        <v>91.666666666666657</v>
      </c>
      <c r="K107">
        <v>86.567164179104466</v>
      </c>
      <c r="L107">
        <v>100</v>
      </c>
      <c r="M107">
        <v>87.804878048780495</v>
      </c>
      <c r="N107">
        <v>83.870967741935488</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93.877551020408163</v>
      </c>
      <c r="E108">
        <v>88.416988416988417</v>
      </c>
      <c r="F108">
        <v>100</v>
      </c>
      <c r="G108">
        <v>89.247311827956992</v>
      </c>
      <c r="H108">
        <v>88.215488215488207</v>
      </c>
      <c r="I108">
        <v>100</v>
      </c>
      <c r="J108">
        <v>86.440677966101703</v>
      </c>
      <c r="K108">
        <v>85.766423357664237</v>
      </c>
      <c r="L108">
        <v>100</v>
      </c>
      <c r="M108">
        <v>85.714285714285708</v>
      </c>
      <c r="N108">
        <v>84.192439862542955</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85.714285714285708</v>
      </c>
      <c r="D109">
        <v>64.772727272727266</v>
      </c>
      <c r="E109">
        <v>76.756756756756758</v>
      </c>
      <c r="F109">
        <v>83.333333333333343</v>
      </c>
      <c r="G109">
        <v>77.083333333333343</v>
      </c>
      <c r="H109">
        <v>83.703703703703695</v>
      </c>
      <c r="I109">
        <v>80</v>
      </c>
      <c r="J109">
        <v>81.818181818181827</v>
      </c>
      <c r="K109">
        <v>93.530997304582215</v>
      </c>
      <c r="L109">
        <v>85.714285714285708</v>
      </c>
      <c r="M109">
        <v>81.111111111111114</v>
      </c>
      <c r="N109">
        <v>91.891891891891902</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83.333333333333343</v>
      </c>
      <c r="D110">
        <v>76.351351351351354</v>
      </c>
      <c r="E110">
        <v>82.911392405063282</v>
      </c>
      <c r="F110">
        <v>100</v>
      </c>
      <c r="G110">
        <v>80.120481927710841</v>
      </c>
      <c r="H110">
        <v>90.728476821192046</v>
      </c>
      <c r="I110">
        <v>100</v>
      </c>
      <c r="J110">
        <v>86</v>
      </c>
      <c r="K110">
        <v>80.588235294117652</v>
      </c>
      <c r="L110">
        <v>100</v>
      </c>
      <c r="M110">
        <v>70.629370629370626</v>
      </c>
      <c r="N110">
        <v>78.527607361963192</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100</v>
      </c>
      <c r="D111">
        <v>78.378378378378372</v>
      </c>
      <c r="E111">
        <v>72.916666666666657</v>
      </c>
      <c r="F111">
        <v>57.142857142857139</v>
      </c>
      <c r="G111">
        <v>55.555555555555557</v>
      </c>
      <c r="H111">
        <v>65.454545454545453</v>
      </c>
      <c r="I111">
        <v>66.666666666666657</v>
      </c>
      <c r="J111">
        <v>70.833333333333343</v>
      </c>
      <c r="K111">
        <v>56.521739130434781</v>
      </c>
      <c r="L111">
        <v>100</v>
      </c>
      <c r="M111">
        <v>92.857142857142861</v>
      </c>
      <c r="N111">
        <v>86.666666666666671</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93.650793650793645</v>
      </c>
      <c r="E112">
        <v>92.890995260663516</v>
      </c>
      <c r="F112">
        <v>100</v>
      </c>
      <c r="G112">
        <v>92.546583850931668</v>
      </c>
      <c r="H112">
        <v>92.820512820512818</v>
      </c>
      <c r="I112">
        <v>100</v>
      </c>
      <c r="J112">
        <v>90.647482014388487</v>
      </c>
      <c r="K112">
        <v>88.050314465408803</v>
      </c>
      <c r="L112">
        <v>100</v>
      </c>
      <c r="M112">
        <v>95.833333333333343</v>
      </c>
      <c r="N112">
        <v>90.322580645161281</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50</v>
      </c>
      <c r="D113">
        <v>50</v>
      </c>
      <c r="E113">
        <v>69.680851063829792</v>
      </c>
      <c r="F113">
        <v>37.5</v>
      </c>
      <c r="G113">
        <v>47.826086956521742</v>
      </c>
      <c r="H113">
        <v>77.604166666666657</v>
      </c>
      <c r="I113">
        <v>80</v>
      </c>
      <c r="J113">
        <v>70.422535211267601</v>
      </c>
      <c r="K113">
        <v>74.522292993630572</v>
      </c>
      <c r="L113">
        <v>53.846153846153847</v>
      </c>
      <c r="M113">
        <v>75.806451612903231</v>
      </c>
      <c r="N113">
        <v>81.012658227848107</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72.173913043478265</v>
      </c>
      <c r="E114">
        <v>84.674329501915707</v>
      </c>
      <c r="F114">
        <v>100</v>
      </c>
      <c r="G114">
        <v>79.310344827586206</v>
      </c>
      <c r="H114">
        <v>82.882882882882882</v>
      </c>
      <c r="I114">
        <v>100</v>
      </c>
      <c r="J114">
        <v>89.86486486486487</v>
      </c>
      <c r="K114">
        <v>88</v>
      </c>
      <c r="L114">
        <v>100</v>
      </c>
      <c r="M114">
        <v>93.103448275862064</v>
      </c>
      <c r="N114">
        <v>91.162790697674424</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100</v>
      </c>
      <c r="D115">
        <v>88.888888888888886</v>
      </c>
      <c r="E115">
        <v>97.435897435897431</v>
      </c>
      <c r="F115">
        <v>83.333333333333343</v>
      </c>
      <c r="G115">
        <v>100</v>
      </c>
      <c r="H115">
        <v>100</v>
      </c>
      <c r="I115">
        <v>60</v>
      </c>
      <c r="J115">
        <v>93.75</v>
      </c>
      <c r="K115">
        <v>96.15384615384616</v>
      </c>
      <c r="L115">
        <v>66.666666666666657</v>
      </c>
      <c r="M115">
        <v>71.428571428571431</v>
      </c>
      <c r="N115">
        <v>92.156862745098039</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75</v>
      </c>
      <c r="D116">
        <v>80.733944954128447</v>
      </c>
      <c r="E116">
        <v>82.213438735177874</v>
      </c>
      <c r="F116">
        <v>75</v>
      </c>
      <c r="G116">
        <v>76.296296296296291</v>
      </c>
      <c r="H116">
        <v>81.308411214953267</v>
      </c>
      <c r="I116">
        <v>100</v>
      </c>
      <c r="J116">
        <v>88.297872340425528</v>
      </c>
      <c r="K116">
        <v>92.096219931271477</v>
      </c>
      <c r="L116">
        <v>100</v>
      </c>
      <c r="M116">
        <v>84.536082474226802</v>
      </c>
      <c r="N116">
        <v>85.714285714285708</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100</v>
      </c>
      <c r="D117">
        <v>87.179487179487182</v>
      </c>
      <c r="E117">
        <v>77.027027027027032</v>
      </c>
      <c r="F117">
        <v>100</v>
      </c>
      <c r="G117">
        <v>80.645161290322577</v>
      </c>
      <c r="H117">
        <v>91.25</v>
      </c>
      <c r="I117">
        <v>75</v>
      </c>
      <c r="J117">
        <v>28.125</v>
      </c>
      <c r="K117">
        <v>43.448275862068961</v>
      </c>
      <c r="L117">
        <v>60</v>
      </c>
      <c r="M117">
        <v>65.384615384615387</v>
      </c>
      <c r="N117">
        <v>70.303030303030297</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v>100</v>
      </c>
      <c r="G118">
        <v>100</v>
      </c>
      <c r="H118">
        <v>100</v>
      </c>
      <c r="I118">
        <v>100</v>
      </c>
      <c r="J118">
        <v>100</v>
      </c>
      <c r="K118">
        <v>100</v>
      </c>
      <c r="L118">
        <v>100</v>
      </c>
      <c r="M118">
        <v>100</v>
      </c>
      <c r="N118">
        <v>100</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87.272727272727266</v>
      </c>
      <c r="E119">
        <v>88.888888888888886</v>
      </c>
      <c r="F119"/>
      <c r="G119">
        <v>95.555555555555557</v>
      </c>
      <c r="H119">
        <v>97.058823529411768</v>
      </c>
      <c r="I119">
        <v>100</v>
      </c>
      <c r="J119">
        <v>100</v>
      </c>
      <c r="K119">
        <v>100</v>
      </c>
      <c r="L119">
        <v>80</v>
      </c>
      <c r="M119">
        <v>93.103448275862064</v>
      </c>
      <c r="N119">
        <v>93.055555555555557</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100</v>
      </c>
      <c r="D120">
        <v>75</v>
      </c>
      <c r="E120">
        <v>90.566037735849065</v>
      </c>
      <c r="F120">
        <v>100</v>
      </c>
      <c r="G120">
        <v>76.923076923076934</v>
      </c>
      <c r="H120">
        <v>84.033613445378151</v>
      </c>
      <c r="I120">
        <v>100</v>
      </c>
      <c r="J120">
        <v>81.818181818181827</v>
      </c>
      <c r="K120">
        <v>84.210526315789465</v>
      </c>
      <c r="L120">
        <v>50</v>
      </c>
      <c r="M120">
        <v>100</v>
      </c>
      <c r="N120">
        <v>88.505747126436788</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80</v>
      </c>
      <c r="D121">
        <v>82.417582417582409</v>
      </c>
      <c r="E121">
        <v>97.741935483870961</v>
      </c>
      <c r="F121">
        <v>100</v>
      </c>
      <c r="G121">
        <v>97.9381443298969</v>
      </c>
      <c r="H121">
        <v>96.739130434782609</v>
      </c>
      <c r="I121">
        <v>100</v>
      </c>
      <c r="J121">
        <v>93.069306930693074</v>
      </c>
      <c r="K121">
        <v>96.996996996996998</v>
      </c>
      <c r="L121">
        <v>100</v>
      </c>
      <c r="M121">
        <v>93.61702127659575</v>
      </c>
      <c r="N121">
        <v>94.894894894894904</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89.473684210526315</v>
      </c>
      <c r="D122">
        <v>71.942446043165461</v>
      </c>
      <c r="E122">
        <v>64.620938628158839</v>
      </c>
      <c r="F122">
        <v>80</v>
      </c>
      <c r="G122">
        <v>73.643410852713174</v>
      </c>
      <c r="H122">
        <v>71.698113207547166</v>
      </c>
      <c r="I122">
        <v>100</v>
      </c>
      <c r="J122">
        <v>80.357142857142861</v>
      </c>
      <c r="K122">
        <v>81.92771084337349</v>
      </c>
      <c r="L122">
        <v>92.307692307692307</v>
      </c>
      <c r="M122">
        <v>77.931034482758619</v>
      </c>
      <c r="N122">
        <v>77.319587628865989</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80</v>
      </c>
      <c r="D123">
        <v>95.238095238095227</v>
      </c>
      <c r="E123">
        <v>89.795918367346943</v>
      </c>
      <c r="F123">
        <v>100</v>
      </c>
      <c r="G123">
        <v>97.674418604651152</v>
      </c>
      <c r="H123">
        <v>99.397590361445793</v>
      </c>
      <c r="I123">
        <v>80</v>
      </c>
      <c r="J123">
        <v>96.15384615384616</v>
      </c>
      <c r="K123">
        <v>94.642857142857139</v>
      </c>
      <c r="L123">
        <v>100</v>
      </c>
      <c r="M123">
        <v>100</v>
      </c>
      <c r="N123">
        <v>97.402597402597408</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69.444444444444443</v>
      </c>
      <c r="E124">
        <v>86.79245283018868</v>
      </c>
      <c r="F124">
        <v>100</v>
      </c>
      <c r="G124">
        <v>75.862068965517238</v>
      </c>
      <c r="H124">
        <v>95.454545454545453</v>
      </c>
      <c r="I124">
        <v>100</v>
      </c>
      <c r="J124">
        <v>85.294117647058826</v>
      </c>
      <c r="K124">
        <v>91.111111111111114</v>
      </c>
      <c r="L124">
        <v>100</v>
      </c>
      <c r="M124">
        <v>93.103448275862064</v>
      </c>
      <c r="N124">
        <v>94.285714285714278</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100</v>
      </c>
      <c r="D125">
        <v>82.35294117647058</v>
      </c>
      <c r="E125">
        <v>86.582809224318652</v>
      </c>
      <c r="F125">
        <v>90.909090909090907</v>
      </c>
      <c r="G125">
        <v>84.112149532710276</v>
      </c>
      <c r="H125">
        <v>90.243902439024396</v>
      </c>
      <c r="I125">
        <v>100</v>
      </c>
      <c r="J125">
        <v>84.693877551020407</v>
      </c>
      <c r="K125">
        <v>87.584650112866811</v>
      </c>
      <c r="L125">
        <v>100</v>
      </c>
      <c r="M125">
        <v>83.333333333333343</v>
      </c>
      <c r="N125">
        <v>83.887468030690542</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60</v>
      </c>
      <c r="D126">
        <v>74.193548387096769</v>
      </c>
      <c r="E126">
        <v>93.827160493827151</v>
      </c>
      <c r="F126">
        <v>75</v>
      </c>
      <c r="G126">
        <v>84.285714285714292</v>
      </c>
      <c r="H126">
        <v>92.173913043478265</v>
      </c>
      <c r="I126">
        <v>63.636363636363633</v>
      </c>
      <c r="J126">
        <v>84.848484848484844</v>
      </c>
      <c r="K126">
        <v>93.939393939393938</v>
      </c>
      <c r="L126">
        <v>78.571428571428569</v>
      </c>
      <c r="M126">
        <v>77.777777777777786</v>
      </c>
      <c r="N126">
        <v>95.50561797752809</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93.333333333333329</v>
      </c>
      <c r="D127">
        <v>89.411764705882362</v>
      </c>
      <c r="E127">
        <v>95.794392523364493</v>
      </c>
      <c r="F127">
        <v>100</v>
      </c>
      <c r="G127">
        <v>95.945945945945937</v>
      </c>
      <c r="H127">
        <v>96.610169491525426</v>
      </c>
      <c r="I127">
        <v>100</v>
      </c>
      <c r="J127">
        <v>98.591549295774655</v>
      </c>
      <c r="K127">
        <v>95.673076923076934</v>
      </c>
      <c r="L127">
        <v>100</v>
      </c>
      <c r="M127">
        <v>92.982456140350877</v>
      </c>
      <c r="N127">
        <v>93.61702127659575</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77.777777777777786</v>
      </c>
      <c r="D128">
        <v>94.594594594594597</v>
      </c>
      <c r="E128">
        <v>93.63636363636364</v>
      </c>
      <c r="F128">
        <v>90</v>
      </c>
      <c r="G128">
        <v>89.024390243902445</v>
      </c>
      <c r="H128">
        <v>95.402298850574709</v>
      </c>
      <c r="I128">
        <v>75</v>
      </c>
      <c r="J128">
        <v>93.203883495145632</v>
      </c>
      <c r="K128">
        <v>93.449781659388648</v>
      </c>
      <c r="L128">
        <v>100</v>
      </c>
      <c r="M128">
        <v>92.708333333333343</v>
      </c>
      <c r="N128">
        <v>93.75</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73.68421052631578</v>
      </c>
      <c r="D129">
        <v>66.666666666666657</v>
      </c>
      <c r="E129">
        <v>89.473684210526315</v>
      </c>
      <c r="F129">
        <v>100</v>
      </c>
      <c r="G129">
        <v>63.218390804597703</v>
      </c>
      <c r="H129">
        <v>87.958115183246079</v>
      </c>
      <c r="I129">
        <v>75</v>
      </c>
      <c r="J129">
        <v>73.626373626373635</v>
      </c>
      <c r="K129">
        <v>91.469194312796205</v>
      </c>
      <c r="L129">
        <v>75</v>
      </c>
      <c r="M129">
        <v>68.292682926829272</v>
      </c>
      <c r="N129">
        <v>86.875</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50</v>
      </c>
      <c r="D130">
        <v>60</v>
      </c>
      <c r="E130">
        <v>41.025641025641022</v>
      </c>
      <c r="F130">
        <v>100</v>
      </c>
      <c r="G130">
        <v>76</v>
      </c>
      <c r="H130">
        <v>69.811320754716974</v>
      </c>
      <c r="I130">
        <v>100</v>
      </c>
      <c r="J130">
        <v>86.666666666666671</v>
      </c>
      <c r="K130">
        <v>93.442622950819683</v>
      </c>
      <c r="L130">
        <v>100</v>
      </c>
      <c r="M130">
        <v>81.818181818181827</v>
      </c>
      <c r="N130">
        <v>97.727272727272734</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100</v>
      </c>
      <c r="D131">
        <v>89.65517241379311</v>
      </c>
      <c r="E131">
        <v>97.590361445783131</v>
      </c>
      <c r="F131">
        <v>100</v>
      </c>
      <c r="G131">
        <v>100</v>
      </c>
      <c r="H131">
        <v>93.103448275862064</v>
      </c>
      <c r="I131">
        <v>100</v>
      </c>
      <c r="J131">
        <v>100</v>
      </c>
      <c r="K131">
        <v>96.739130434782609</v>
      </c>
      <c r="L131">
        <v>50</v>
      </c>
      <c r="M131">
        <v>93.939393939393938</v>
      </c>
      <c r="N131">
        <v>97.647058823529406</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87.5</v>
      </c>
      <c r="D132">
        <v>88.043478260869563</v>
      </c>
      <c r="E132">
        <v>98.192771084337352</v>
      </c>
      <c r="F132">
        <v>85.714285714285708</v>
      </c>
      <c r="G132">
        <v>84.112149532710276</v>
      </c>
      <c r="H132">
        <v>95.135135135135144</v>
      </c>
      <c r="I132">
        <v>83.333333333333343</v>
      </c>
      <c r="J132">
        <v>94.642857142857139</v>
      </c>
      <c r="K132">
        <v>97.714285714285708</v>
      </c>
      <c r="L132">
        <v>90.909090909090907</v>
      </c>
      <c r="M132">
        <v>89.361702127659569</v>
      </c>
      <c r="N132">
        <v>97.5</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c r="D133">
        <v>85.714285714285708</v>
      </c>
      <c r="E133">
        <v>71.428571428571431</v>
      </c>
      <c r="F133">
        <v>50</v>
      </c>
      <c r="G133">
        <v>75</v>
      </c>
      <c r="H133">
        <v>100</v>
      </c>
      <c r="I133"/>
      <c r="J133">
        <v>100</v>
      </c>
      <c r="K133">
        <v>87.5</v>
      </c>
      <c r="L133"/>
      <c r="M133">
        <v>100</v>
      </c>
      <c r="N133">
        <v>64.285714285714292</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100</v>
      </c>
      <c r="D134">
        <v>96.551724137931032</v>
      </c>
      <c r="E134">
        <v>94.117647058823522</v>
      </c>
      <c r="F134">
        <v>100</v>
      </c>
      <c r="G134">
        <v>98.830409356725141</v>
      </c>
      <c r="H134">
        <v>90.35532994923858</v>
      </c>
      <c r="I134">
        <v>50</v>
      </c>
      <c r="J134">
        <v>95.850622406639005</v>
      </c>
      <c r="K134">
        <v>93.564356435643575</v>
      </c>
      <c r="L134">
        <v>100</v>
      </c>
      <c r="M134">
        <v>97.604790419161674</v>
      </c>
      <c r="N134">
        <v>92.1875</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89.247311827956992</v>
      </c>
      <c r="E135">
        <v>85.751978891820585</v>
      </c>
      <c r="F135">
        <v>100</v>
      </c>
      <c r="G135">
        <v>95.87155963302753</v>
      </c>
      <c r="H135">
        <v>94.73684210526315</v>
      </c>
      <c r="I135">
        <v>100</v>
      </c>
      <c r="J135">
        <v>95.867768595041326</v>
      </c>
      <c r="K135">
        <v>97.336561743341406</v>
      </c>
      <c r="L135">
        <v>100</v>
      </c>
      <c r="M135">
        <v>99.043062200956939</v>
      </c>
      <c r="N135">
        <v>98.319327731092429</v>
      </c>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84.615384615384613</v>
      </c>
      <c r="D136">
        <v>77.777777777777786</v>
      </c>
      <c r="E136">
        <v>86.538461538461547</v>
      </c>
      <c r="F136">
        <v>83.333333333333343</v>
      </c>
      <c r="G136">
        <v>80.14705882352942</v>
      </c>
      <c r="H136">
        <v>82.323232323232318</v>
      </c>
      <c r="I136">
        <v>88.235294117647058</v>
      </c>
      <c r="J136">
        <v>89.542483660130728</v>
      </c>
      <c r="K136">
        <v>89.777777777777771</v>
      </c>
      <c r="L136">
        <v>94.444444444444443</v>
      </c>
      <c r="M136">
        <v>88.622754491017957</v>
      </c>
      <c r="N136">
        <v>90.270270270270274</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100</v>
      </c>
      <c r="D137">
        <v>83.870967741935488</v>
      </c>
      <c r="E137">
        <v>94.20289855072464</v>
      </c>
      <c r="F137">
        <v>85.714285714285708</v>
      </c>
      <c r="G137">
        <v>91.666666666666657</v>
      </c>
      <c r="H137">
        <v>97.777777777777771</v>
      </c>
      <c r="I137">
        <v>88.888888888888886</v>
      </c>
      <c r="J137">
        <v>79.069767441860463</v>
      </c>
      <c r="K137">
        <v>85.567010309278345</v>
      </c>
      <c r="L137">
        <v>100</v>
      </c>
      <c r="M137">
        <v>89.473684210526315</v>
      </c>
      <c r="N137">
        <v>87.5</v>
      </c>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100</v>
      </c>
      <c r="D138">
        <v>92.857142857142861</v>
      </c>
      <c r="E138">
        <v>95.112781954887211</v>
      </c>
      <c r="F138">
        <v>87.5</v>
      </c>
      <c r="G138">
        <v>93.333333333333329</v>
      </c>
      <c r="H138">
        <v>95.102040816326522</v>
      </c>
      <c r="I138">
        <v>100</v>
      </c>
      <c r="J138">
        <v>94.666666666666671</v>
      </c>
      <c r="K138">
        <v>92.460317460317469</v>
      </c>
      <c r="L138">
        <v>100</v>
      </c>
      <c r="M138">
        <v>76.712328767123282</v>
      </c>
      <c r="N138">
        <v>93.644067796610159</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83.333333333333343</v>
      </c>
      <c r="D139">
        <v>80.379746835443029</v>
      </c>
      <c r="E139">
        <v>87.022900763358777</v>
      </c>
      <c r="F139">
        <v>91.304347826086953</v>
      </c>
      <c r="G139">
        <v>84.375</v>
      </c>
      <c r="H139">
        <v>91.495601173020518</v>
      </c>
      <c r="I139">
        <v>88.888888888888886</v>
      </c>
      <c r="J139">
        <v>88.741721854304629</v>
      </c>
      <c r="K139">
        <v>92.113564668769726</v>
      </c>
      <c r="L139">
        <v>100</v>
      </c>
      <c r="M139">
        <v>86.713286713286706</v>
      </c>
      <c r="N139">
        <v>90.804597701149419</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100</v>
      </c>
      <c r="E140">
        <v>100</v>
      </c>
      <c r="F140">
        <v>100</v>
      </c>
      <c r="G140">
        <v>95.238095238095227</v>
      </c>
      <c r="H140">
        <v>98.68421052631578</v>
      </c>
      <c r="I140">
        <v>100</v>
      </c>
      <c r="J140">
        <v>94.444444444444443</v>
      </c>
      <c r="K140">
        <v>94.915254237288138</v>
      </c>
      <c r="L140">
        <v>100</v>
      </c>
      <c r="M140">
        <v>89.473684210526315</v>
      </c>
      <c r="N140">
        <v>98.113207547169807</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92.307692307692307</v>
      </c>
      <c r="E141">
        <v>91.2</v>
      </c>
      <c r="F141">
        <v>100</v>
      </c>
      <c r="G141">
        <v>90.707964601769902</v>
      </c>
      <c r="H141">
        <v>94.9579831932773</v>
      </c>
      <c r="I141">
        <v>100</v>
      </c>
      <c r="J141">
        <v>94.190871369294598</v>
      </c>
      <c r="K141">
        <v>95.019157088122611</v>
      </c>
      <c r="L141">
        <v>100</v>
      </c>
      <c r="M141">
        <v>94.680851063829792</v>
      </c>
      <c r="N141">
        <v>94.88636363636364</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81.818181818181827</v>
      </c>
      <c r="D142">
        <v>86.956521739130437</v>
      </c>
      <c r="E142">
        <v>90.967741935483872</v>
      </c>
      <c r="F142">
        <v>100</v>
      </c>
      <c r="G142">
        <v>84.285714285714292</v>
      </c>
      <c r="H142">
        <v>95.555555555555557</v>
      </c>
      <c r="I142">
        <v>87.5</v>
      </c>
      <c r="J142">
        <v>90</v>
      </c>
      <c r="K142">
        <v>94.117647058823522</v>
      </c>
      <c r="L142">
        <v>100</v>
      </c>
      <c r="M142">
        <v>89.795918367346943</v>
      </c>
      <c r="N142">
        <v>90.909090909090907</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100</v>
      </c>
      <c r="D143">
        <v>87.317073170731703</v>
      </c>
      <c r="E143">
        <v>92.318244170096023</v>
      </c>
      <c r="F143">
        <v>93.333333333333329</v>
      </c>
      <c r="G143">
        <v>91.370558375634516</v>
      </c>
      <c r="H143">
        <v>92.244897959183675</v>
      </c>
      <c r="I143">
        <v>86.956521739130437</v>
      </c>
      <c r="J143">
        <v>88.823529411764696</v>
      </c>
      <c r="K143">
        <v>93.74217772215269</v>
      </c>
      <c r="L143">
        <v>90.909090909090907</v>
      </c>
      <c r="M143">
        <v>91.457286432160799</v>
      </c>
      <c r="N143">
        <v>92.767295597484278</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90</v>
      </c>
      <c r="D144">
        <v>76.470588235294116</v>
      </c>
      <c r="E144">
        <v>81.132075471698116</v>
      </c>
      <c r="F144">
        <v>92.857142857142861</v>
      </c>
      <c r="G144">
        <v>85.333333333333343</v>
      </c>
      <c r="H144">
        <v>86.178861788617894</v>
      </c>
      <c r="I144">
        <v>70</v>
      </c>
      <c r="J144">
        <v>81.553398058252426</v>
      </c>
      <c r="K144">
        <v>90.774907749077499</v>
      </c>
      <c r="L144">
        <v>100</v>
      </c>
      <c r="M144">
        <v>88.764044943820224</v>
      </c>
      <c r="N144">
        <v>91.056910569105682</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71.428571428571431</v>
      </c>
      <c r="D145">
        <v>83.78378378378379</v>
      </c>
      <c r="E145">
        <v>86.075949367088612</v>
      </c>
      <c r="F145">
        <v>100</v>
      </c>
      <c r="G145">
        <v>73.91304347826086</v>
      </c>
      <c r="H145">
        <v>85.074626865671647</v>
      </c>
      <c r="I145">
        <v>60</v>
      </c>
      <c r="J145">
        <v>72.972972972972968</v>
      </c>
      <c r="K145">
        <v>96</v>
      </c>
      <c r="L145">
        <v>100</v>
      </c>
      <c r="M145">
        <v>58.974358974358978</v>
      </c>
      <c r="N145">
        <v>74.025974025974023</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92.031872509960152</v>
      </c>
      <c r="E146">
        <v>88.349514563106794</v>
      </c>
      <c r="F146">
        <v>100</v>
      </c>
      <c r="G146">
        <v>91.891891891891902</v>
      </c>
      <c r="H146">
        <v>95.801526717557252</v>
      </c>
      <c r="I146">
        <v>100</v>
      </c>
      <c r="J146">
        <v>96.226415094339629</v>
      </c>
      <c r="K146">
        <v>96.059113300492612</v>
      </c>
      <c r="L146">
        <v>100</v>
      </c>
      <c r="M146">
        <v>90.445859872611464</v>
      </c>
      <c r="N146">
        <v>90.049751243781088</v>
      </c>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83.333333333333343</v>
      </c>
      <c r="D147">
        <v>82</v>
      </c>
      <c r="E147">
        <v>94.285714285714278</v>
      </c>
      <c r="F147">
        <v>100</v>
      </c>
      <c r="G147">
        <v>90.196078431372555</v>
      </c>
      <c r="H147">
        <v>96.694214876033058</v>
      </c>
      <c r="I147">
        <v>80</v>
      </c>
      <c r="J147">
        <v>95.454545454545453</v>
      </c>
      <c r="K147">
        <v>99.264705882352942</v>
      </c>
      <c r="L147">
        <v>62.5</v>
      </c>
      <c r="M147">
        <v>93.023255813953483</v>
      </c>
      <c r="N147">
        <v>92.553191489361694</v>
      </c>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66.666666666666657</v>
      </c>
      <c r="D148">
        <v>58.82352941176471</v>
      </c>
      <c r="E148">
        <v>75.903614457831324</v>
      </c>
      <c r="F148">
        <v>100</v>
      </c>
      <c r="G148">
        <v>60.869565217391312</v>
      </c>
      <c r="H148">
        <v>75.308641975308646</v>
      </c>
      <c r="I148">
        <v>100</v>
      </c>
      <c r="J148">
        <v>66.666666666666657</v>
      </c>
      <c r="K148">
        <v>72.131147540983605</v>
      </c>
      <c r="L148"/>
      <c r="M148">
        <v>70.833333333333343</v>
      </c>
      <c r="N148">
        <v>81.818181818181827</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78.94736842105263</v>
      </c>
      <c r="D149">
        <v>70.370370370370367</v>
      </c>
      <c r="E149">
        <v>78.48101265822784</v>
      </c>
      <c r="F149">
        <v>80</v>
      </c>
      <c r="G149">
        <v>79.166666666666657</v>
      </c>
      <c r="H149">
        <v>84.014869888475843</v>
      </c>
      <c r="I149">
        <v>50</v>
      </c>
      <c r="J149">
        <v>83.928571428571431</v>
      </c>
      <c r="K149">
        <v>85.328185328185327</v>
      </c>
      <c r="L149">
        <v>83.333333333333343</v>
      </c>
      <c r="M149">
        <v>91.588785046728972</v>
      </c>
      <c r="N149">
        <v>84.140969162995589</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100</v>
      </c>
      <c r="D150">
        <v>90.909090909090907</v>
      </c>
      <c r="E150">
        <v>80</v>
      </c>
      <c r="F150">
        <v>0</v>
      </c>
      <c r="G150">
        <v>11.111111111111111</v>
      </c>
      <c r="H150">
        <v>40</v>
      </c>
      <c r="I150">
        <v>50</v>
      </c>
      <c r="J150">
        <v>80</v>
      </c>
      <c r="K150">
        <v>70</v>
      </c>
      <c r="L150">
        <v>100</v>
      </c>
      <c r="M150">
        <v>90</v>
      </c>
      <c r="N150">
        <v>80</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100</v>
      </c>
      <c r="D151">
        <v>82.978723404255319</v>
      </c>
      <c r="E151">
        <v>96.25</v>
      </c>
      <c r="F151">
        <v>90</v>
      </c>
      <c r="G151">
        <v>91.891891891891902</v>
      </c>
      <c r="H151">
        <v>97.278911564625844</v>
      </c>
      <c r="I151">
        <v>100</v>
      </c>
      <c r="J151">
        <v>100</v>
      </c>
      <c r="K151">
        <v>100</v>
      </c>
      <c r="L151">
        <v>83.333333333333343</v>
      </c>
      <c r="M151">
        <v>96.15384615384616</v>
      </c>
      <c r="N151">
        <v>99.285714285714292</v>
      </c>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93.333333333333329</v>
      </c>
      <c r="D152">
        <v>85.714285714285708</v>
      </c>
      <c r="E152">
        <v>96.05263157894737</v>
      </c>
      <c r="F152">
        <v>81.818181818181827</v>
      </c>
      <c r="G152">
        <v>84.523809523809518</v>
      </c>
      <c r="H152">
        <v>96.566523605150209</v>
      </c>
      <c r="I152">
        <v>100</v>
      </c>
      <c r="J152">
        <v>96.428571428571431</v>
      </c>
      <c r="K152">
        <v>95.867768595041326</v>
      </c>
      <c r="L152">
        <v>100</v>
      </c>
      <c r="M152">
        <v>94.117647058823522</v>
      </c>
      <c r="N152">
        <v>97.816593886462883</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60</v>
      </c>
      <c r="D153">
        <v>77.41935483870968</v>
      </c>
      <c r="E153">
        <v>92.045454545454547</v>
      </c>
      <c r="F153">
        <v>100</v>
      </c>
      <c r="G153">
        <v>77.64705882352942</v>
      </c>
      <c r="H153">
        <v>87.2</v>
      </c>
      <c r="I153">
        <v>100</v>
      </c>
      <c r="J153">
        <v>72.727272727272734</v>
      </c>
      <c r="K153">
        <v>86.813186813186817</v>
      </c>
      <c r="L153">
        <v>83.333333333333343</v>
      </c>
      <c r="M153">
        <v>80.555555555555557</v>
      </c>
      <c r="N153">
        <v>94.444444444444443</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100</v>
      </c>
      <c r="D154">
        <v>84.05797101449275</v>
      </c>
      <c r="E154">
        <v>82.8125</v>
      </c>
      <c r="F154">
        <v>66.666666666666657</v>
      </c>
      <c r="G154">
        <v>76</v>
      </c>
      <c r="H154">
        <v>84.848484848484844</v>
      </c>
      <c r="I154">
        <v>88.888888888888886</v>
      </c>
      <c r="J154">
        <v>75</v>
      </c>
      <c r="K154">
        <v>72.268907563025209</v>
      </c>
      <c r="L154">
        <v>75</v>
      </c>
      <c r="M154">
        <v>87.755102040816325</v>
      </c>
      <c r="N154">
        <v>78.651685393258433</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95.833333333333343</v>
      </c>
      <c r="D155">
        <v>82</v>
      </c>
      <c r="E155">
        <v>84.493670886075947</v>
      </c>
      <c r="F155">
        <v>83.333333333333343</v>
      </c>
      <c r="G155">
        <v>78.512396694214885</v>
      </c>
      <c r="H155">
        <v>82.196969696969703</v>
      </c>
      <c r="I155">
        <v>91.666666666666657</v>
      </c>
      <c r="J155">
        <v>81.751824817518255</v>
      </c>
      <c r="K155">
        <v>77.203647416413375</v>
      </c>
      <c r="L155">
        <v>85.365853658536579</v>
      </c>
      <c r="M155">
        <v>78.212290502793294</v>
      </c>
      <c r="N155">
        <v>85.759493670886073</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100</v>
      </c>
      <c r="E156">
        <v>100</v>
      </c>
      <c r="F156">
        <v>100</v>
      </c>
      <c r="G156">
        <v>100</v>
      </c>
      <c r="H156">
        <v>98.630136986301366</v>
      </c>
      <c r="I156">
        <v>100</v>
      </c>
      <c r="J156">
        <v>100</v>
      </c>
      <c r="K156">
        <v>98.113207547169807</v>
      </c>
      <c r="L156">
        <v>100</v>
      </c>
      <c r="M156">
        <v>87.5</v>
      </c>
      <c r="N156">
        <v>94.117647058823522</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88.888888888888886</v>
      </c>
      <c r="D157">
        <v>76.056338028169009</v>
      </c>
      <c r="E157">
        <v>96.174863387978135</v>
      </c>
      <c r="F157">
        <v>88.888888888888886</v>
      </c>
      <c r="G157">
        <v>76.056338028169009</v>
      </c>
      <c r="H157">
        <v>96.174863387978135</v>
      </c>
      <c r="I157">
        <v>100</v>
      </c>
      <c r="J157">
        <v>91.071428571428569</v>
      </c>
      <c r="K157">
        <v>95.305164319248831</v>
      </c>
      <c r="L157">
        <v>100</v>
      </c>
      <c r="M157">
        <v>95.238095238095227</v>
      </c>
      <c r="N157">
        <v>94.705882352941174</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91.891891891891902</v>
      </c>
      <c r="E158">
        <v>96.078431372549019</v>
      </c>
      <c r="F158">
        <v>100</v>
      </c>
      <c r="G158">
        <v>87.5</v>
      </c>
      <c r="H158">
        <v>96.774193548387103</v>
      </c>
      <c r="I158">
        <v>100</v>
      </c>
      <c r="J158">
        <v>92.857142857142861</v>
      </c>
      <c r="K158">
        <v>89.743589743589752</v>
      </c>
      <c r="L158">
        <v>100</v>
      </c>
      <c r="M158">
        <v>65.625</v>
      </c>
      <c r="N158">
        <v>88.709677419354833</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85.714285714285708</v>
      </c>
      <c r="D159">
        <v>87.179487179487182</v>
      </c>
      <c r="E159">
        <v>99.656357388316152</v>
      </c>
      <c r="F159">
        <v>100</v>
      </c>
      <c r="G159">
        <v>88.059701492537314</v>
      </c>
      <c r="H159">
        <v>96.350364963503651</v>
      </c>
      <c r="I159">
        <v>100</v>
      </c>
      <c r="J159">
        <v>75</v>
      </c>
      <c r="K159">
        <v>92.63565891472868</v>
      </c>
      <c r="L159">
        <v>100</v>
      </c>
      <c r="M159">
        <v>89.333333333333329</v>
      </c>
      <c r="N159">
        <v>92.129629629629633</v>
      </c>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83.333333333333343</v>
      </c>
      <c r="D160">
        <v>97.435897435897431</v>
      </c>
      <c r="E160">
        <v>87.4015748031496</v>
      </c>
      <c r="F160">
        <v>100</v>
      </c>
      <c r="G160">
        <v>97.183098591549296</v>
      </c>
      <c r="H160">
        <v>96.15384615384616</v>
      </c>
      <c r="I160">
        <v>87.5</v>
      </c>
      <c r="J160">
        <v>96</v>
      </c>
      <c r="K160">
        <v>93.577981651376149</v>
      </c>
      <c r="L160">
        <v>100</v>
      </c>
      <c r="M160">
        <v>93.181818181818173</v>
      </c>
      <c r="N160">
        <v>91.304347826086953</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92.307692307692307</v>
      </c>
      <c r="D161">
        <v>97.802197802197796</v>
      </c>
      <c r="E161">
        <v>99.224806201550393</v>
      </c>
      <c r="F161">
        <v>93.333333333333329</v>
      </c>
      <c r="G161">
        <v>92.045454545454547</v>
      </c>
      <c r="H161">
        <v>96.815286624203821</v>
      </c>
      <c r="I161">
        <v>81.818181818181827</v>
      </c>
      <c r="J161">
        <v>94.318181818181827</v>
      </c>
      <c r="K161">
        <v>94.857142857142861</v>
      </c>
      <c r="L161">
        <v>71.428571428571431</v>
      </c>
      <c r="M161">
        <v>89.743589743589752</v>
      </c>
      <c r="N161">
        <v>95.890410958904098</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97.959183673469383</v>
      </c>
      <c r="E162">
        <v>99.601593625498012</v>
      </c>
      <c r="F162">
        <v>100</v>
      </c>
      <c r="G162">
        <v>100</v>
      </c>
      <c r="H162">
        <v>99.581589958159</v>
      </c>
      <c r="I162">
        <v>100</v>
      </c>
      <c r="J162">
        <v>100</v>
      </c>
      <c r="K162">
        <v>99.107142857142861</v>
      </c>
      <c r="L162">
        <v>100</v>
      </c>
      <c r="M162">
        <v>94.666666666666671</v>
      </c>
      <c r="N162">
        <v>98.941798941798936</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75</v>
      </c>
      <c r="D163">
        <v>72.727272727272734</v>
      </c>
      <c r="E163">
        <v>72.58064516129032</v>
      </c>
      <c r="F163">
        <v>0</v>
      </c>
      <c r="G163">
        <v>85.714285714285708</v>
      </c>
      <c r="H163">
        <v>70.886075949367083</v>
      </c>
      <c r="I163">
        <v>75</v>
      </c>
      <c r="J163">
        <v>89.285714285714292</v>
      </c>
      <c r="K163">
        <v>91.17647058823529</v>
      </c>
      <c r="L163">
        <v>87.5</v>
      </c>
      <c r="M163">
        <v>100</v>
      </c>
      <c r="N163">
        <v>86.842105263157904</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94.444444444444443</v>
      </c>
      <c r="D164">
        <v>96.05263157894737</v>
      </c>
      <c r="E164">
        <v>94.791666666666657</v>
      </c>
      <c r="F164">
        <v>100</v>
      </c>
      <c r="G164">
        <v>85.483870967741936</v>
      </c>
      <c r="H164">
        <v>93.155893536121667</v>
      </c>
      <c r="I164">
        <v>96</v>
      </c>
      <c r="J164">
        <v>97.142857142857139</v>
      </c>
      <c r="K164">
        <v>91.139240506329116</v>
      </c>
      <c r="L164">
        <v>100</v>
      </c>
      <c r="M164">
        <v>98.113207547169807</v>
      </c>
      <c r="N164">
        <v>95.522388059701484</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66.666666666666657</v>
      </c>
      <c r="D165">
        <v>90.666666666666657</v>
      </c>
      <c r="E165">
        <v>94.409937888198755</v>
      </c>
      <c r="F165">
        <v>66.666666666666657</v>
      </c>
      <c r="G165">
        <v>89.85507246376811</v>
      </c>
      <c r="H165">
        <v>94.318181818181827</v>
      </c>
      <c r="I165">
        <v>100</v>
      </c>
      <c r="J165">
        <v>92.941176470588232</v>
      </c>
      <c r="K165">
        <v>98.445595854922274</v>
      </c>
      <c r="L165">
        <v>100</v>
      </c>
      <c r="M165">
        <v>88.235294117647058</v>
      </c>
      <c r="N165">
        <v>94.936708860759495</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80.851063829787222</v>
      </c>
      <c r="E166">
        <v>86.458333333333343</v>
      </c>
      <c r="F166">
        <v>100</v>
      </c>
      <c r="G166">
        <v>94.339622641509436</v>
      </c>
      <c r="H166">
        <v>91.666666666666657</v>
      </c>
      <c r="I166">
        <v>100</v>
      </c>
      <c r="J166">
        <v>83.636363636363626</v>
      </c>
      <c r="K166">
        <v>91.341991341991346</v>
      </c>
      <c r="L166">
        <v>100</v>
      </c>
      <c r="M166">
        <v>75.806451612903231</v>
      </c>
      <c r="N166">
        <v>89.032258064516128</v>
      </c>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100</v>
      </c>
      <c r="D167">
        <v>97.53086419753086</v>
      </c>
      <c r="E167">
        <v>89.261744966442961</v>
      </c>
      <c r="F167">
        <v>100</v>
      </c>
      <c r="G167">
        <v>93.84615384615384</v>
      </c>
      <c r="H167">
        <v>94.155844155844164</v>
      </c>
      <c r="I167">
        <v>92.857142857142861</v>
      </c>
      <c r="J167">
        <v>89.189189189189193</v>
      </c>
      <c r="K167">
        <v>96.428571428571431</v>
      </c>
      <c r="L167">
        <v>84.615384615384613</v>
      </c>
      <c r="M167">
        <v>91.549295774647888</v>
      </c>
      <c r="N167">
        <v>85.714285714285708</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83.333333333333343</v>
      </c>
      <c r="D168">
        <v>69.811320754716974</v>
      </c>
      <c r="E168">
        <v>74.522292993630572</v>
      </c>
      <c r="F168">
        <v>90</v>
      </c>
      <c r="G168">
        <v>78.84615384615384</v>
      </c>
      <c r="H168">
        <v>76.439790575916234</v>
      </c>
      <c r="I168">
        <v>81.818181818181827</v>
      </c>
      <c r="J168">
        <v>84.210526315789465</v>
      </c>
      <c r="K168">
        <v>84.137931034482762</v>
      </c>
      <c r="L168">
        <v>71.428571428571431</v>
      </c>
      <c r="M168">
        <v>85</v>
      </c>
      <c r="N168">
        <v>84.313725490196077</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60</v>
      </c>
      <c r="D169">
        <v>93.939393939393938</v>
      </c>
      <c r="E169">
        <v>91.304347826086953</v>
      </c>
      <c r="F169">
        <v>100</v>
      </c>
      <c r="G169">
        <v>94.285714285714278</v>
      </c>
      <c r="H169">
        <v>97.5</v>
      </c>
      <c r="I169">
        <v>88.888888888888886</v>
      </c>
      <c r="J169">
        <v>91.489361702127653</v>
      </c>
      <c r="K169">
        <v>95.78947368421052</v>
      </c>
      <c r="L169">
        <v>100</v>
      </c>
      <c r="M169">
        <v>89.583333333333343</v>
      </c>
      <c r="N169">
        <v>96.551724137931032</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54.901960784313729</v>
      </c>
      <c r="E170">
        <v>70.270270270270274</v>
      </c>
      <c r="F170">
        <v>100</v>
      </c>
      <c r="G170">
        <v>61.250000000000007</v>
      </c>
      <c r="H170">
        <v>64.024390243902445</v>
      </c>
      <c r="I170">
        <v>100</v>
      </c>
      <c r="J170">
        <v>71.942446043165461</v>
      </c>
      <c r="K170">
        <v>90.566037735849065</v>
      </c>
      <c r="L170">
        <v>100</v>
      </c>
      <c r="M170">
        <v>86.734693877551024</v>
      </c>
      <c r="N170">
        <v>88.549618320610691</v>
      </c>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90.909090909090907</v>
      </c>
      <c r="D171">
        <v>91.452991452991455</v>
      </c>
      <c r="E171">
        <v>94.520547945205479</v>
      </c>
      <c r="F171">
        <v>100</v>
      </c>
      <c r="G171">
        <v>97.560975609756099</v>
      </c>
      <c r="H171">
        <v>97.014925373134332</v>
      </c>
      <c r="I171">
        <v>80</v>
      </c>
      <c r="J171">
        <v>94.444444444444443</v>
      </c>
      <c r="K171">
        <v>97.27272727272728</v>
      </c>
      <c r="L171">
        <v>100</v>
      </c>
      <c r="M171">
        <v>97.222222222222214</v>
      </c>
      <c r="N171">
        <v>96.15384615384616</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100</v>
      </c>
      <c r="D172">
        <v>88.888888888888886</v>
      </c>
      <c r="E172">
        <v>82.178217821782169</v>
      </c>
      <c r="F172">
        <v>100</v>
      </c>
      <c r="G172">
        <v>89.361702127659569</v>
      </c>
      <c r="H172">
        <v>90.677966101694921</v>
      </c>
      <c r="I172">
        <v>100</v>
      </c>
      <c r="J172">
        <v>90</v>
      </c>
      <c r="K172">
        <v>92.783505154639172</v>
      </c>
      <c r="L172">
        <v>100</v>
      </c>
      <c r="M172">
        <v>90.740740740740748</v>
      </c>
      <c r="N172">
        <v>91.954022988505741</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100</v>
      </c>
      <c r="D173">
        <v>100</v>
      </c>
      <c r="E173">
        <v>98.360655737704917</v>
      </c>
      <c r="F173">
        <v>75</v>
      </c>
      <c r="G173">
        <v>100</v>
      </c>
      <c r="H173">
        <v>100</v>
      </c>
      <c r="I173">
        <v>100</v>
      </c>
      <c r="J173">
        <v>96.969696969696969</v>
      </c>
      <c r="K173">
        <v>100</v>
      </c>
      <c r="L173">
        <v>100</v>
      </c>
      <c r="M173">
        <v>97.916666666666657</v>
      </c>
      <c r="N173">
        <v>100</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100</v>
      </c>
      <c r="D174">
        <v>92.307692307692307</v>
      </c>
      <c r="E174">
        <v>97.61904761904762</v>
      </c>
      <c r="F174">
        <v>75</v>
      </c>
      <c r="G174">
        <v>97.959183673469383</v>
      </c>
      <c r="H174">
        <v>96.035242290748897</v>
      </c>
      <c r="I174">
        <v>88.888888888888886</v>
      </c>
      <c r="J174">
        <v>87.755102040816325</v>
      </c>
      <c r="K174">
        <v>96</v>
      </c>
      <c r="L174">
        <v>66.666666666666657</v>
      </c>
      <c r="M174">
        <v>82.758620689655174</v>
      </c>
      <c r="N174">
        <v>92.432432432432435</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87.5</v>
      </c>
      <c r="D175">
        <v>84.210526315789465</v>
      </c>
      <c r="E175">
        <v>93.805309734513273</v>
      </c>
      <c r="F175">
        <v>93.75</v>
      </c>
      <c r="G175">
        <v>72.972972972972968</v>
      </c>
      <c r="H175">
        <v>87.155963302752298</v>
      </c>
      <c r="I175">
        <v>75</v>
      </c>
      <c r="J175">
        <v>80</v>
      </c>
      <c r="K175">
        <v>93.277310924369743</v>
      </c>
      <c r="L175">
        <v>100</v>
      </c>
      <c r="M175">
        <v>85.294117647058826</v>
      </c>
      <c r="N175">
        <v>92.913385826771659</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100</v>
      </c>
      <c r="D176">
        <v>92</v>
      </c>
      <c r="E176">
        <v>90</v>
      </c>
      <c r="F176">
        <v>80</v>
      </c>
      <c r="G176">
        <v>67.441860465116278</v>
      </c>
      <c r="H176">
        <v>80.597014925373131</v>
      </c>
      <c r="I176">
        <v>87.5</v>
      </c>
      <c r="J176">
        <v>76.666666666666671</v>
      </c>
      <c r="K176">
        <v>87.179487179487182</v>
      </c>
      <c r="L176">
        <v>88.888888888888886</v>
      </c>
      <c r="M176">
        <v>74.509803921568633</v>
      </c>
      <c r="N176">
        <v>88.888888888888886</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94.565217391304344</v>
      </c>
      <c r="E177">
        <v>98.578199052132703</v>
      </c>
      <c r="F177">
        <v>100</v>
      </c>
      <c r="G177">
        <v>98.484848484848484</v>
      </c>
      <c r="H177">
        <v>98.918918918918919</v>
      </c>
      <c r="I177">
        <v>100</v>
      </c>
      <c r="J177">
        <v>95.714285714285722</v>
      </c>
      <c r="K177">
        <v>97.326203208556151</v>
      </c>
      <c r="L177">
        <v>100</v>
      </c>
      <c r="M177">
        <v>94.444444444444443</v>
      </c>
      <c r="N177">
        <v>96.236559139784944</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96</v>
      </c>
      <c r="D178">
        <v>69.892473118279568</v>
      </c>
      <c r="E178">
        <v>88.028169014084511</v>
      </c>
      <c r="F178">
        <v>100</v>
      </c>
      <c r="G178">
        <v>74.747474747474755</v>
      </c>
      <c r="H178">
        <v>83.763837638376387</v>
      </c>
      <c r="I178">
        <v>82.35294117647058</v>
      </c>
      <c r="J178">
        <v>84.536082474226802</v>
      </c>
      <c r="K178">
        <v>85.098039215686271</v>
      </c>
      <c r="L178">
        <v>74.074074074074076</v>
      </c>
      <c r="M178">
        <v>76.851851851851848</v>
      </c>
      <c r="N178">
        <v>79.537953795379536</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85.714285714285708</v>
      </c>
      <c r="D179">
        <v>89.795918367346943</v>
      </c>
      <c r="E179">
        <v>93.564356435643575</v>
      </c>
      <c r="F179">
        <v>85.714285714285708</v>
      </c>
      <c r="G179">
        <v>83.516483516483518</v>
      </c>
      <c r="H179">
        <v>94.907407407407405</v>
      </c>
      <c r="I179">
        <v>71.428571428571431</v>
      </c>
      <c r="J179">
        <v>84.158415841584159</v>
      </c>
      <c r="K179">
        <v>91.758241758241752</v>
      </c>
      <c r="L179">
        <v>80</v>
      </c>
      <c r="M179">
        <v>82.727272727272734</v>
      </c>
      <c r="N179">
        <v>93.627450980392155</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99.2</v>
      </c>
      <c r="F180">
        <v>100</v>
      </c>
      <c r="G180">
        <v>100</v>
      </c>
      <c r="H180">
        <v>99.350649350649363</v>
      </c>
      <c r="I180">
        <v>100</v>
      </c>
      <c r="J180">
        <v>100</v>
      </c>
      <c r="K180">
        <v>99.421965317919074</v>
      </c>
      <c r="L180">
        <v>100</v>
      </c>
      <c r="M180">
        <v>100</v>
      </c>
      <c r="N180">
        <v>100</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50</v>
      </c>
      <c r="D181">
        <v>82.142857142857139</v>
      </c>
      <c r="E181">
        <v>93.220338983050837</v>
      </c>
      <c r="F181">
        <v>75</v>
      </c>
      <c r="G181">
        <v>87.5</v>
      </c>
      <c r="H181">
        <v>94.444444444444443</v>
      </c>
      <c r="I181">
        <v>100</v>
      </c>
      <c r="J181">
        <v>87.5</v>
      </c>
      <c r="K181">
        <v>98.214285714285708</v>
      </c>
      <c r="L181">
        <v>100</v>
      </c>
      <c r="M181">
        <v>86.36363636363636</v>
      </c>
      <c r="N181">
        <v>83.07692307692308</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100</v>
      </c>
      <c r="D182">
        <v>85.714285714285708</v>
      </c>
      <c r="E182">
        <v>95.275590551181097</v>
      </c>
      <c r="F182">
        <v>90.909090909090907</v>
      </c>
      <c r="G182">
        <v>88.571428571428569</v>
      </c>
      <c r="H182">
        <v>92</v>
      </c>
      <c r="I182">
        <v>85.714285714285708</v>
      </c>
      <c r="J182">
        <v>87.719298245614027</v>
      </c>
      <c r="K182">
        <v>84.496124031007753</v>
      </c>
      <c r="L182">
        <v>81.818181818181827</v>
      </c>
      <c r="M182">
        <v>85</v>
      </c>
      <c r="N182">
        <v>88.571428571428569</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c r="D183"/>
      <c r="E183"/>
      <c r="F183">
        <v>78.84615384615384</v>
      </c>
      <c r="G183">
        <v>81.97424892703863</v>
      </c>
      <c r="H183">
        <v>87.865655471289273</v>
      </c>
      <c r="I183">
        <v>80</v>
      </c>
      <c r="J183">
        <v>84.428223844282229</v>
      </c>
      <c r="K183">
        <v>86.316989737742304</v>
      </c>
      <c r="L183">
        <v>91.044776119402982</v>
      </c>
      <c r="M183">
        <v>79.310344827586206</v>
      </c>
      <c r="N183">
        <v>85.98726114649682</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78.94736842105263</v>
      </c>
      <c r="D184">
        <v>79.629629629629633</v>
      </c>
      <c r="E184">
        <v>85.714285714285708</v>
      </c>
      <c r="F184">
        <v>88.888888888888886</v>
      </c>
      <c r="G184">
        <v>81.578947368421055</v>
      </c>
      <c r="H184">
        <v>86.538461538461547</v>
      </c>
      <c r="I184">
        <v>85.18518518518519</v>
      </c>
      <c r="J184">
        <v>88.659793814432987</v>
      </c>
      <c r="K184">
        <v>84.911242603550292</v>
      </c>
      <c r="L184">
        <v>87.5</v>
      </c>
      <c r="M184">
        <v>82.474226804123703</v>
      </c>
      <c r="N184">
        <v>88.888888888888886</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88.888888888888886</v>
      </c>
      <c r="E185">
        <v>93.814432989690715</v>
      </c>
      <c r="F185">
        <v>100</v>
      </c>
      <c r="G185">
        <v>100</v>
      </c>
      <c r="H185">
        <v>89.411764705882362</v>
      </c>
      <c r="I185">
        <v>100</v>
      </c>
      <c r="J185">
        <v>96.296296296296291</v>
      </c>
      <c r="K185">
        <v>92.708333333333343</v>
      </c>
      <c r="L185">
        <v>100</v>
      </c>
      <c r="M185">
        <v>87.878787878787875</v>
      </c>
      <c r="N185">
        <v>86.238532110091754</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88.888888888888886</v>
      </c>
      <c r="D186">
        <v>79.66101694915254</v>
      </c>
      <c r="E186">
        <v>79.274611398963728</v>
      </c>
      <c r="F186">
        <v>100</v>
      </c>
      <c r="G186">
        <v>86.764705882352942</v>
      </c>
      <c r="H186">
        <v>85.064935064935071</v>
      </c>
      <c r="I186">
        <v>100</v>
      </c>
      <c r="J186">
        <v>85.074626865671647</v>
      </c>
      <c r="K186">
        <v>88.421052631578945</v>
      </c>
      <c r="L186">
        <v>75</v>
      </c>
      <c r="M186">
        <v>80.597014925373131</v>
      </c>
      <c r="N186">
        <v>89.156626506024097</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100</v>
      </c>
      <c r="D187">
        <v>83.333333333333343</v>
      </c>
      <c r="E187">
        <v>90.196078431372555</v>
      </c>
      <c r="F187">
        <v>100</v>
      </c>
      <c r="G187">
        <v>95</v>
      </c>
      <c r="H187">
        <v>97.142857142857139</v>
      </c>
      <c r="I187">
        <v>62.5</v>
      </c>
      <c r="J187">
        <v>100</v>
      </c>
      <c r="K187">
        <v>92.307692307692307</v>
      </c>
      <c r="L187">
        <v>66.666666666666657</v>
      </c>
      <c r="M187">
        <v>100</v>
      </c>
      <c r="N187">
        <v>98.214285714285708</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88.888888888888886</v>
      </c>
      <c r="E188">
        <v>92.592592592592595</v>
      </c>
      <c r="F188">
        <v>100</v>
      </c>
      <c r="G188">
        <v>100</v>
      </c>
      <c r="H188">
        <v>98.360655737704917</v>
      </c>
      <c r="I188">
        <v>100</v>
      </c>
      <c r="J188">
        <v>92.857142857142861</v>
      </c>
      <c r="K188">
        <v>100</v>
      </c>
      <c r="L188"/>
      <c r="M188">
        <v>92.307692307692307</v>
      </c>
      <c r="N188">
        <v>96.491228070175438</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93.023255813953483</v>
      </c>
      <c r="E189">
        <v>94.444444444444443</v>
      </c>
      <c r="F189">
        <v>100</v>
      </c>
      <c r="G189">
        <v>93.181818181818173</v>
      </c>
      <c r="H189">
        <v>96.373056994818654</v>
      </c>
      <c r="I189">
        <v>100</v>
      </c>
      <c r="J189">
        <v>93.84615384615384</v>
      </c>
      <c r="K189">
        <v>95.731707317073173</v>
      </c>
      <c r="L189">
        <v>100</v>
      </c>
      <c r="M189">
        <v>93.181818181818173</v>
      </c>
      <c r="N189">
        <v>97.727272727272734</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88.135593220338976</v>
      </c>
      <c r="E190">
        <v>92.513368983957221</v>
      </c>
      <c r="F190">
        <v>100</v>
      </c>
      <c r="G190">
        <v>75.862068965517238</v>
      </c>
      <c r="H190">
        <v>84.792626728110605</v>
      </c>
      <c r="I190">
        <v>100</v>
      </c>
      <c r="J190">
        <v>90.410958904109577</v>
      </c>
      <c r="K190">
        <v>88.571428571428569</v>
      </c>
      <c r="L190">
        <v>100</v>
      </c>
      <c r="M190">
        <v>75.675675675675677</v>
      </c>
      <c r="N190">
        <v>83.009708737864074</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90.566037735849065</v>
      </c>
      <c r="E191">
        <v>92.473118279569889</v>
      </c>
      <c r="F191">
        <v>100</v>
      </c>
      <c r="G191">
        <v>96.226415094339629</v>
      </c>
      <c r="H191">
        <v>98.412698412698404</v>
      </c>
      <c r="I191">
        <v>100</v>
      </c>
      <c r="J191">
        <v>95</v>
      </c>
      <c r="K191">
        <v>95.454545454545453</v>
      </c>
      <c r="L191">
        <v>100</v>
      </c>
      <c r="M191">
        <v>95.454545454545453</v>
      </c>
      <c r="N191">
        <v>90.540540540540533</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100</v>
      </c>
      <c r="D192">
        <v>80</v>
      </c>
      <c r="E192">
        <v>86.776859504132233</v>
      </c>
      <c r="F192">
        <v>75</v>
      </c>
      <c r="G192">
        <v>77.083333333333343</v>
      </c>
      <c r="H192">
        <v>84.955752212389385</v>
      </c>
      <c r="I192">
        <v>78.571428571428569</v>
      </c>
      <c r="J192">
        <v>85.91549295774648</v>
      </c>
      <c r="K192">
        <v>78.212290502793294</v>
      </c>
      <c r="L192">
        <v>91.666666666666657</v>
      </c>
      <c r="M192">
        <v>91.525423728813564</v>
      </c>
      <c r="N192">
        <v>83.333333333333343</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97.368421052631575</v>
      </c>
      <c r="E193">
        <v>98.837209302325576</v>
      </c>
      <c r="F193">
        <v>60</v>
      </c>
      <c r="G193">
        <v>92.72727272727272</v>
      </c>
      <c r="H193">
        <v>97.714285714285708</v>
      </c>
      <c r="I193">
        <v>100</v>
      </c>
      <c r="J193">
        <v>89.473684210526315</v>
      </c>
      <c r="K193">
        <v>94.067796610169495</v>
      </c>
      <c r="L193">
        <v>100</v>
      </c>
      <c r="M193">
        <v>95.348837209302332</v>
      </c>
      <c r="N193">
        <v>93.893129770992374</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75</v>
      </c>
      <c r="D194">
        <v>70.909090909090907</v>
      </c>
      <c r="E194">
        <v>71.978021978021971</v>
      </c>
      <c r="F194">
        <v>100</v>
      </c>
      <c r="G194">
        <v>100</v>
      </c>
      <c r="H194">
        <v>98.98989898989899</v>
      </c>
      <c r="I194">
        <v>100</v>
      </c>
      <c r="J194">
        <v>100</v>
      </c>
      <c r="K194">
        <v>98.630136986301366</v>
      </c>
      <c r="L194">
        <v>100</v>
      </c>
      <c r="M194">
        <v>100</v>
      </c>
      <c r="N194">
        <v>94.53125</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90</v>
      </c>
      <c r="D195">
        <v>96.296296296296291</v>
      </c>
      <c r="E195">
        <v>99</v>
      </c>
      <c r="F195">
        <v>100</v>
      </c>
      <c r="G195">
        <v>92.307692307692307</v>
      </c>
      <c r="H195">
        <v>92.982456140350877</v>
      </c>
      <c r="I195">
        <v>100</v>
      </c>
      <c r="J195">
        <v>98.387096774193552</v>
      </c>
      <c r="K195">
        <v>100</v>
      </c>
      <c r="L195">
        <v>100</v>
      </c>
      <c r="M195">
        <v>96.491228070175438</v>
      </c>
      <c r="N195">
        <v>98.876404494382015</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84.444444444444443</v>
      </c>
      <c r="E196">
        <v>91.40625</v>
      </c>
      <c r="F196">
        <v>100</v>
      </c>
      <c r="G196">
        <v>90.625</v>
      </c>
      <c r="H196">
        <v>92.436974789915965</v>
      </c>
      <c r="I196">
        <v>100</v>
      </c>
      <c r="J196">
        <v>82.857142857142861</v>
      </c>
      <c r="K196">
        <v>88.235294117647058</v>
      </c>
      <c r="L196">
        <v>100</v>
      </c>
      <c r="M196">
        <v>92.307692307692307</v>
      </c>
      <c r="N196">
        <v>92.391304347826093</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75</v>
      </c>
      <c r="D197">
        <v>65.979381443298962</v>
      </c>
      <c r="E197">
        <v>80.952380952380949</v>
      </c>
      <c r="F197">
        <v>80</v>
      </c>
      <c r="G197">
        <v>65.346534653465355</v>
      </c>
      <c r="H197">
        <v>87.570621468926561</v>
      </c>
      <c r="I197">
        <v>66.666666666666657</v>
      </c>
      <c r="J197">
        <v>87.096774193548384</v>
      </c>
      <c r="K197">
        <v>93.597560975609767</v>
      </c>
      <c r="L197">
        <v>100</v>
      </c>
      <c r="M197">
        <v>94.791666666666657</v>
      </c>
      <c r="N197">
        <v>97.122302158273371</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86.666666666666671</v>
      </c>
      <c r="E198">
        <v>83.333333333333343</v>
      </c>
      <c r="F198">
        <v>100</v>
      </c>
      <c r="G198">
        <v>87.179487179487182</v>
      </c>
      <c r="H198">
        <v>91.489361702127653</v>
      </c>
      <c r="I198">
        <v>81.818181818181827</v>
      </c>
      <c r="J198">
        <v>95.238095238095227</v>
      </c>
      <c r="K198">
        <v>89.887640449438194</v>
      </c>
      <c r="L198">
        <v>100</v>
      </c>
      <c r="M198">
        <v>90.476190476190482</v>
      </c>
      <c r="N198">
        <v>86.206896551724128</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76.470588235294116</v>
      </c>
      <c r="E199">
        <v>89.285714285714292</v>
      </c>
      <c r="F199">
        <v>100</v>
      </c>
      <c r="G199">
        <v>94.73684210526315</v>
      </c>
      <c r="H199">
        <v>93.75</v>
      </c>
      <c r="I199">
        <v>75</v>
      </c>
      <c r="J199">
        <v>76.923076923076934</v>
      </c>
      <c r="K199">
        <v>84.375</v>
      </c>
      <c r="L199">
        <v>100</v>
      </c>
      <c r="M199">
        <v>80</v>
      </c>
      <c r="N199">
        <v>86.206896551724128</v>
      </c>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50</v>
      </c>
      <c r="D200">
        <v>79.6875</v>
      </c>
      <c r="E200">
        <v>92.146596858638745</v>
      </c>
      <c r="F200">
        <v>100</v>
      </c>
      <c r="G200">
        <v>89.393939393939391</v>
      </c>
      <c r="H200">
        <v>94.067796610169495</v>
      </c>
      <c r="I200">
        <v>100</v>
      </c>
      <c r="J200">
        <v>93.055555555555557</v>
      </c>
      <c r="K200">
        <v>95.102040816326522</v>
      </c>
      <c r="L200">
        <v>100</v>
      </c>
      <c r="M200">
        <v>80.232558139534888</v>
      </c>
      <c r="N200">
        <v>93.15789473684211</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57.142857142857139</v>
      </c>
      <c r="D201">
        <v>63.04347826086957</v>
      </c>
      <c r="E201">
        <v>63.725490196078425</v>
      </c>
      <c r="F201">
        <v>75</v>
      </c>
      <c r="G201">
        <v>74.576271186440678</v>
      </c>
      <c r="H201">
        <v>81.318681318681314</v>
      </c>
      <c r="I201">
        <v>100</v>
      </c>
      <c r="J201">
        <v>85.714285714285708</v>
      </c>
      <c r="K201">
        <v>85.714285714285708</v>
      </c>
      <c r="L201">
        <v>100</v>
      </c>
      <c r="M201">
        <v>81.481481481481481</v>
      </c>
      <c r="N201">
        <v>96.551724137931032</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84.722222222222214</v>
      </c>
      <c r="E202">
        <v>91.687041564792167</v>
      </c>
      <c r="F202">
        <v>75</v>
      </c>
      <c r="G202">
        <v>88.235294117647058</v>
      </c>
      <c r="H202">
        <v>91.314031180400889</v>
      </c>
      <c r="I202">
        <v>100</v>
      </c>
      <c r="J202">
        <v>86.4321608040201</v>
      </c>
      <c r="K202">
        <v>92.287917737789201</v>
      </c>
      <c r="L202">
        <v>100</v>
      </c>
      <c r="M202">
        <v>88.073394495412856</v>
      </c>
      <c r="N202">
        <v>89.64577656675749</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100</v>
      </c>
      <c r="D203">
        <v>81.25</v>
      </c>
      <c r="E203">
        <v>93.84615384615384</v>
      </c>
      <c r="F203">
        <v>90</v>
      </c>
      <c r="G203">
        <v>81.25</v>
      </c>
      <c r="H203">
        <v>93.043478260869563</v>
      </c>
      <c r="I203">
        <v>50</v>
      </c>
      <c r="J203">
        <v>73.076923076923066</v>
      </c>
      <c r="K203">
        <v>81.651376146788991</v>
      </c>
      <c r="L203">
        <v>90</v>
      </c>
      <c r="M203">
        <v>64.516129032258064</v>
      </c>
      <c r="N203">
        <v>93.220338983050837</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100</v>
      </c>
      <c r="D204">
        <v>85.294117647058826</v>
      </c>
      <c r="E204">
        <v>90.476190476190482</v>
      </c>
      <c r="F204">
        <v>66.666666666666657</v>
      </c>
      <c r="G204">
        <v>91.666666666666657</v>
      </c>
      <c r="H204">
        <v>86.206896551724128</v>
      </c>
      <c r="I204">
        <v>66.666666666666657</v>
      </c>
      <c r="J204">
        <v>83.333333333333343</v>
      </c>
      <c r="K204">
        <v>84.615384615384613</v>
      </c>
      <c r="L204">
        <v>100</v>
      </c>
      <c r="M204">
        <v>63.888888888888886</v>
      </c>
      <c r="N204">
        <v>75.294117647058826</v>
      </c>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0</v>
      </c>
      <c r="D205">
        <v>82.926829268292678</v>
      </c>
      <c r="E205">
        <v>92.045454545454547</v>
      </c>
      <c r="F205"/>
      <c r="G205">
        <v>96.774193548387103</v>
      </c>
      <c r="H205">
        <v>90.540540540540533</v>
      </c>
      <c r="I205">
        <v>100</v>
      </c>
      <c r="J205">
        <v>90</v>
      </c>
      <c r="K205">
        <v>91.780821917808225</v>
      </c>
      <c r="L205">
        <v>100</v>
      </c>
      <c r="M205">
        <v>89.189189189189193</v>
      </c>
      <c r="N205">
        <v>100</v>
      </c>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81.081081081081081</v>
      </c>
      <c r="E206">
        <v>85.227272727272734</v>
      </c>
      <c r="F206">
        <v>100</v>
      </c>
      <c r="G206">
        <v>77.64705882352942</v>
      </c>
      <c r="H206">
        <v>86.734693877551024</v>
      </c>
      <c r="I206">
        <v>100</v>
      </c>
      <c r="J206">
        <v>88.888888888888886</v>
      </c>
      <c r="K206">
        <v>92.857142857142861</v>
      </c>
      <c r="L206">
        <v>81.818181818181827</v>
      </c>
      <c r="M206">
        <v>94.20289855072464</v>
      </c>
      <c r="N206">
        <v>98.295454545454547</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v>100</v>
      </c>
      <c r="G207">
        <v>100</v>
      </c>
      <c r="H207">
        <v>100</v>
      </c>
      <c r="I207">
        <v>100</v>
      </c>
      <c r="J207">
        <v>100</v>
      </c>
      <c r="K207">
        <v>100</v>
      </c>
      <c r="L207">
        <v>100</v>
      </c>
      <c r="M207">
        <v>100</v>
      </c>
      <c r="N207">
        <v>100</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100</v>
      </c>
      <c r="D208">
        <v>83.018867924528308</v>
      </c>
      <c r="E208">
        <v>87.931034482758619</v>
      </c>
      <c r="F208">
        <v>80</v>
      </c>
      <c r="G208">
        <v>71.428571428571431</v>
      </c>
      <c r="H208">
        <v>88.095238095238088</v>
      </c>
      <c r="I208">
        <v>80</v>
      </c>
      <c r="J208">
        <v>85.714285714285708</v>
      </c>
      <c r="K208">
        <v>95.652173913043484</v>
      </c>
      <c r="L208">
        <v>66.666666666666657</v>
      </c>
      <c r="M208">
        <v>71.428571428571431</v>
      </c>
      <c r="N208">
        <v>86.666666666666671</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90</v>
      </c>
      <c r="E209">
        <v>91.608391608391599</v>
      </c>
      <c r="F209">
        <v>85.714285714285708</v>
      </c>
      <c r="G209">
        <v>82.978723404255319</v>
      </c>
      <c r="H209">
        <v>87.719298245614027</v>
      </c>
      <c r="I209">
        <v>100</v>
      </c>
      <c r="J209">
        <v>75.510204081632651</v>
      </c>
      <c r="K209">
        <v>83.908045977011497</v>
      </c>
      <c r="L209">
        <v>100</v>
      </c>
      <c r="M209">
        <v>65.116279069767444</v>
      </c>
      <c r="N209">
        <v>64.444444444444443</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87.5</v>
      </c>
      <c r="D210">
        <v>84.126984126984127</v>
      </c>
      <c r="E210">
        <v>91.358024691358025</v>
      </c>
      <c r="F210">
        <v>100</v>
      </c>
      <c r="G210">
        <v>83.870967741935488</v>
      </c>
      <c r="H210">
        <v>90.109890109890117</v>
      </c>
      <c r="I210">
        <v>88.888888888888886</v>
      </c>
      <c r="J210">
        <v>92.063492063492063</v>
      </c>
      <c r="K210">
        <v>89.156626506024097</v>
      </c>
      <c r="L210">
        <v>100</v>
      </c>
      <c r="M210">
        <v>80.519480519480524</v>
      </c>
      <c r="N210">
        <v>94.160583941605836</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100</v>
      </c>
      <c r="D211">
        <v>91.666666666666657</v>
      </c>
      <c r="E211">
        <v>93.333333333333329</v>
      </c>
      <c r="F211">
        <v>100</v>
      </c>
      <c r="G211">
        <v>96.428571428571431</v>
      </c>
      <c r="H211">
        <v>94.666666666666671</v>
      </c>
      <c r="I211">
        <v>66.666666666666657</v>
      </c>
      <c r="J211">
        <v>85.714285714285708</v>
      </c>
      <c r="K211">
        <v>90.789473684210535</v>
      </c>
      <c r="L211">
        <v>100</v>
      </c>
      <c r="M211">
        <v>86.36363636363636</v>
      </c>
      <c r="N211">
        <v>98.181818181818187</v>
      </c>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77.777777777777786</v>
      </c>
      <c r="D212">
        <v>91.666666666666657</v>
      </c>
      <c r="E212">
        <v>88.679245283018872</v>
      </c>
      <c r="F212">
        <v>100</v>
      </c>
      <c r="G212">
        <v>81.818181818181827</v>
      </c>
      <c r="H212">
        <v>95.833333333333343</v>
      </c>
      <c r="I212">
        <v>100</v>
      </c>
      <c r="J212">
        <v>95.555555555555557</v>
      </c>
      <c r="K212">
        <v>97.435897435897431</v>
      </c>
      <c r="L212">
        <v>60</v>
      </c>
      <c r="M212">
        <v>94.444444444444443</v>
      </c>
      <c r="N212">
        <v>97.916666666666657</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71.428571428571431</v>
      </c>
      <c r="D213">
        <v>82.8125</v>
      </c>
      <c r="E213">
        <v>89.147286821705436</v>
      </c>
      <c r="F213">
        <v>58.333333333333336</v>
      </c>
      <c r="G213">
        <v>88.888888888888886</v>
      </c>
      <c r="H213">
        <v>83.78378378378379</v>
      </c>
      <c r="I213">
        <v>87.5</v>
      </c>
      <c r="J213">
        <v>83.928571428571431</v>
      </c>
      <c r="K213">
        <v>82.051282051282044</v>
      </c>
      <c r="L213">
        <v>77.777777777777786</v>
      </c>
      <c r="M213">
        <v>87.755102040816325</v>
      </c>
      <c r="N213">
        <v>95.348837209302332</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100</v>
      </c>
      <c r="D214">
        <v>95.161290322580655</v>
      </c>
      <c r="E214">
        <v>93.82022471910112</v>
      </c>
      <c r="F214">
        <v>100</v>
      </c>
      <c r="G214">
        <v>83.050847457627114</v>
      </c>
      <c r="H214">
        <v>91.666666666666657</v>
      </c>
      <c r="I214">
        <v>100</v>
      </c>
      <c r="J214">
        <v>86.666666666666671</v>
      </c>
      <c r="K214">
        <v>94.701986754966882</v>
      </c>
      <c r="L214">
        <v>83.333333333333343</v>
      </c>
      <c r="M214">
        <v>90.625</v>
      </c>
      <c r="N214">
        <v>94.97206703910615</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100</v>
      </c>
      <c r="D215">
        <v>92.592592592592595</v>
      </c>
      <c r="E215">
        <v>97.524752475247524</v>
      </c>
      <c r="F215">
        <v>85.714285714285708</v>
      </c>
      <c r="G215">
        <v>84.313725490196077</v>
      </c>
      <c r="H215">
        <v>94.73684210526315</v>
      </c>
      <c r="I215">
        <v>83.333333333333343</v>
      </c>
      <c r="J215">
        <v>88.461538461538453</v>
      </c>
      <c r="K215">
        <v>96.808510638297875</v>
      </c>
      <c r="L215">
        <v>100</v>
      </c>
      <c r="M215">
        <v>93.877551020408163</v>
      </c>
      <c r="N215">
        <v>95.918367346938766</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92.857142857142861</v>
      </c>
      <c r="D216">
        <v>90.677966101694921</v>
      </c>
      <c r="E216">
        <v>95.238095238095227</v>
      </c>
      <c r="F216">
        <v>100</v>
      </c>
      <c r="G216">
        <v>91.452991452991455</v>
      </c>
      <c r="H216">
        <v>95.723684210526315</v>
      </c>
      <c r="I216">
        <v>100</v>
      </c>
      <c r="J216">
        <v>91.262135922330103</v>
      </c>
      <c r="K216">
        <v>98.305084745762713</v>
      </c>
      <c r="L216">
        <v>100</v>
      </c>
      <c r="M216">
        <v>94.339622641509436</v>
      </c>
      <c r="N216">
        <v>97.890295358649794</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100</v>
      </c>
      <c r="D217">
        <v>75.630252100840337</v>
      </c>
      <c r="E217">
        <v>82.849604221635886</v>
      </c>
      <c r="F217">
        <v>90</v>
      </c>
      <c r="G217">
        <v>80.291970802919707</v>
      </c>
      <c r="H217">
        <v>71.215880893300238</v>
      </c>
      <c r="I217">
        <v>86.36363636363636</v>
      </c>
      <c r="J217">
        <v>82.727272727272734</v>
      </c>
      <c r="K217">
        <v>81.77339901477832</v>
      </c>
      <c r="L217">
        <v>90</v>
      </c>
      <c r="M217">
        <v>82.758620689655174</v>
      </c>
      <c r="N217">
        <v>83.333333333333343</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87.5</v>
      </c>
      <c r="D218">
        <v>80.811808118081188</v>
      </c>
      <c r="E218">
        <v>92.383292383292385</v>
      </c>
      <c r="F218">
        <v>79.411764705882348</v>
      </c>
      <c r="G218">
        <v>87.951807228915655</v>
      </c>
      <c r="H218">
        <v>94.482758620689651</v>
      </c>
      <c r="I218">
        <v>80</v>
      </c>
      <c r="J218">
        <v>88</v>
      </c>
      <c r="K218">
        <v>94.457274826789842</v>
      </c>
      <c r="L218">
        <v>68.965517241379317</v>
      </c>
      <c r="M218">
        <v>86.602870813397132</v>
      </c>
      <c r="N218">
        <v>93.654822335025372</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100</v>
      </c>
      <c r="D219">
        <v>66.666666666666657</v>
      </c>
      <c r="E219">
        <v>82.786885245901644</v>
      </c>
      <c r="F219">
        <v>100</v>
      </c>
      <c r="G219">
        <v>84.615384615384613</v>
      </c>
      <c r="H219">
        <v>80.172413793103445</v>
      </c>
      <c r="I219">
        <v>100</v>
      </c>
      <c r="J219">
        <v>73.076923076923066</v>
      </c>
      <c r="K219">
        <v>87.179487179487182</v>
      </c>
      <c r="L219">
        <v>83.333333333333343</v>
      </c>
      <c r="M219">
        <v>68.75</v>
      </c>
      <c r="N219">
        <v>89.230769230769241</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100</v>
      </c>
      <c r="D220">
        <v>94.915254237288138</v>
      </c>
      <c r="E220">
        <v>91.118421052631575</v>
      </c>
      <c r="F220">
        <v>100</v>
      </c>
      <c r="G220">
        <v>88.679245283018872</v>
      </c>
      <c r="H220">
        <v>95.205479452054803</v>
      </c>
      <c r="I220">
        <v>100</v>
      </c>
      <c r="J220">
        <v>87.179487179487182</v>
      </c>
      <c r="K220">
        <v>91.459074733096088</v>
      </c>
      <c r="L220">
        <v>80</v>
      </c>
      <c r="M220">
        <v>83.333333333333343</v>
      </c>
      <c r="N220">
        <v>91.505791505791507</v>
      </c>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c r="D221"/>
      <c r="E221"/>
      <c r="F221">
        <v>81.818181818181827</v>
      </c>
      <c r="G221">
        <v>81.746031746031747</v>
      </c>
      <c r="H221">
        <v>89.280245022970902</v>
      </c>
      <c r="I221">
        <v>87.5</v>
      </c>
      <c r="J221">
        <v>91.223404255319153</v>
      </c>
      <c r="K221">
        <v>92.857142857142861</v>
      </c>
      <c r="L221">
        <v>88.888888888888886</v>
      </c>
      <c r="M221">
        <v>87.941176470588232</v>
      </c>
      <c r="N221">
        <v>94.483985765124558</v>
      </c>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90.909090909090907</v>
      </c>
      <c r="D222">
        <v>66.911764705882348</v>
      </c>
      <c r="E222">
        <v>85.161290322580641</v>
      </c>
      <c r="F222">
        <v>93.333333333333329</v>
      </c>
      <c r="G222">
        <v>78.260869565217391</v>
      </c>
      <c r="H222">
        <v>81.090909090909093</v>
      </c>
      <c r="I222">
        <v>94.73684210526315</v>
      </c>
      <c r="J222">
        <v>83.516483516483518</v>
      </c>
      <c r="K222">
        <v>88.973384030418245</v>
      </c>
      <c r="L222">
        <v>90</v>
      </c>
      <c r="M222">
        <v>86.206896551724128</v>
      </c>
      <c r="N222">
        <v>94.961240310077528</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80</v>
      </c>
      <c r="D223">
        <v>81.25</v>
      </c>
      <c r="E223">
        <v>87.431693989071036</v>
      </c>
      <c r="F223">
        <v>100</v>
      </c>
      <c r="G223">
        <v>59.677419354838712</v>
      </c>
      <c r="H223">
        <v>87.704918032786878</v>
      </c>
      <c r="I223">
        <v>77.777777777777786</v>
      </c>
      <c r="J223">
        <v>79.166666666666657</v>
      </c>
      <c r="K223">
        <v>95.238095238095227</v>
      </c>
      <c r="L223">
        <v>60</v>
      </c>
      <c r="M223">
        <v>60.317460317460316</v>
      </c>
      <c r="N223">
        <v>82.882882882882882</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100</v>
      </c>
      <c r="D224">
        <v>89.65517241379311</v>
      </c>
      <c r="E224">
        <v>93.493150684931507</v>
      </c>
      <c r="F224">
        <v>94.117647058823522</v>
      </c>
      <c r="G224">
        <v>88.333333333333329</v>
      </c>
      <c r="H224">
        <v>91.050583657587552</v>
      </c>
      <c r="I224">
        <v>100</v>
      </c>
      <c r="J224">
        <v>92.682926829268297</v>
      </c>
      <c r="K224">
        <v>88.813559322033896</v>
      </c>
      <c r="L224">
        <v>91.666666666666657</v>
      </c>
      <c r="M224">
        <v>81.651376146788991</v>
      </c>
      <c r="N224">
        <v>91.121495327102807</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76.923076923076934</v>
      </c>
      <c r="D225">
        <v>90.756302521008408</v>
      </c>
      <c r="E225">
        <v>85.46255506607929</v>
      </c>
      <c r="F225">
        <v>100</v>
      </c>
      <c r="G225">
        <v>93.258426966292134</v>
      </c>
      <c r="H225">
        <v>89.732142857142861</v>
      </c>
      <c r="I225">
        <v>91.666666666666657</v>
      </c>
      <c r="J225">
        <v>87.755102040816325</v>
      </c>
      <c r="K225">
        <v>93.181818181818173</v>
      </c>
      <c r="L225">
        <v>100</v>
      </c>
      <c r="M225">
        <v>86.458333333333343</v>
      </c>
      <c r="N225">
        <v>90.594059405940598</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75</v>
      </c>
      <c r="D226">
        <v>92.391304347826093</v>
      </c>
      <c r="E226">
        <v>97.5</v>
      </c>
      <c r="F226">
        <v>92.307692307692307</v>
      </c>
      <c r="G226">
        <v>96.666666666666671</v>
      </c>
      <c r="H226">
        <v>97.826086956521735</v>
      </c>
      <c r="I226">
        <v>100</v>
      </c>
      <c r="J226">
        <v>90.666666666666657</v>
      </c>
      <c r="K226">
        <v>92.307692307692307</v>
      </c>
      <c r="L226">
        <v>93.75</v>
      </c>
      <c r="M226">
        <v>95.238095238095227</v>
      </c>
      <c r="N226">
        <v>92.957746478873233</v>
      </c>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100</v>
      </c>
      <c r="D227">
        <v>86.075949367088612</v>
      </c>
      <c r="E227">
        <v>83.62573099415205</v>
      </c>
      <c r="F227">
        <v>42.857142857142854</v>
      </c>
      <c r="G227">
        <v>77.272727272727266</v>
      </c>
      <c r="H227">
        <v>73.456790123456798</v>
      </c>
      <c r="I227">
        <v>85.714285714285708</v>
      </c>
      <c r="J227">
        <v>69.333333333333343</v>
      </c>
      <c r="K227">
        <v>79.850746268656707</v>
      </c>
      <c r="L227">
        <v>90.909090909090907</v>
      </c>
      <c r="M227">
        <v>76.923076923076934</v>
      </c>
      <c r="N227">
        <v>83.088235294117652</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90.909090909090907</v>
      </c>
      <c r="D228">
        <v>88.235294117647058</v>
      </c>
      <c r="E228">
        <v>89.940828402366861</v>
      </c>
      <c r="F228">
        <v>100</v>
      </c>
      <c r="G228">
        <v>74.117647058823536</v>
      </c>
      <c r="H228">
        <v>90.454545454545453</v>
      </c>
      <c r="I228">
        <v>100</v>
      </c>
      <c r="J228">
        <v>94.285714285714278</v>
      </c>
      <c r="K228">
        <v>91.017964071856284</v>
      </c>
      <c r="L228">
        <v>80</v>
      </c>
      <c r="M228">
        <v>85.18518518518519</v>
      </c>
      <c r="N228">
        <v>96.44670050761421</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84.615384615384613</v>
      </c>
      <c r="D229">
        <v>83.035714285714292</v>
      </c>
      <c r="E229">
        <v>91.743119266055047</v>
      </c>
      <c r="F229">
        <v>100</v>
      </c>
      <c r="G229">
        <v>89.583333333333343</v>
      </c>
      <c r="H229">
        <v>95.238095238095227</v>
      </c>
      <c r="I229">
        <v>100</v>
      </c>
      <c r="J229">
        <v>90.909090909090907</v>
      </c>
      <c r="K229">
        <v>90.519877675840974</v>
      </c>
      <c r="L229">
        <v>100</v>
      </c>
      <c r="M229">
        <v>88.28125</v>
      </c>
      <c r="N229">
        <v>90.666666666666657</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66.666666666666657</v>
      </c>
      <c r="D230">
        <v>88.372093023255815</v>
      </c>
      <c r="E230">
        <v>92.307692307692307</v>
      </c>
      <c r="F230">
        <v>66.666666666666657</v>
      </c>
      <c r="G230">
        <v>77.5</v>
      </c>
      <c r="H230">
        <v>80.219780219780219</v>
      </c>
      <c r="I230">
        <v>80</v>
      </c>
      <c r="J230">
        <v>96.428571428571431</v>
      </c>
      <c r="K230">
        <v>97.802197802197796</v>
      </c>
      <c r="L230">
        <v>100</v>
      </c>
      <c r="M230">
        <v>95.121951219512198</v>
      </c>
      <c r="N230">
        <v>94.20289855072464</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92.156862745098039</v>
      </c>
      <c r="E231">
        <v>92.857142857142861</v>
      </c>
      <c r="F231">
        <v>100</v>
      </c>
      <c r="G231">
        <v>89.361702127659569</v>
      </c>
      <c r="H231">
        <v>93.103448275862064</v>
      </c>
      <c r="I231">
        <v>100</v>
      </c>
      <c r="J231">
        <v>94</v>
      </c>
      <c r="K231">
        <v>93.333333333333329</v>
      </c>
      <c r="L231">
        <v>100</v>
      </c>
      <c r="M231">
        <v>85.18518518518519</v>
      </c>
      <c r="N231">
        <v>95.50561797752809</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100</v>
      </c>
      <c r="E232">
        <v>96.25</v>
      </c>
      <c r="F232">
        <v>100</v>
      </c>
      <c r="G232">
        <v>76.923076923076934</v>
      </c>
      <c r="H232">
        <v>92.857142857142861</v>
      </c>
      <c r="I232">
        <v>100</v>
      </c>
      <c r="J232">
        <v>80.952380952380949</v>
      </c>
      <c r="K232">
        <v>90.4</v>
      </c>
      <c r="L232">
        <v>100</v>
      </c>
      <c r="M232">
        <v>41.17647058823529</v>
      </c>
      <c r="N232">
        <v>86.746987951807228</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100</v>
      </c>
      <c r="D233">
        <v>94.73684210526315</v>
      </c>
      <c r="E233">
        <v>94.85294117647058</v>
      </c>
      <c r="F233">
        <v>100</v>
      </c>
      <c r="G233">
        <v>97.674418604651152</v>
      </c>
      <c r="H233">
        <v>96.774193548387103</v>
      </c>
      <c r="I233">
        <v>100</v>
      </c>
      <c r="J233">
        <v>88</v>
      </c>
      <c r="K233">
        <v>93.525179856115102</v>
      </c>
      <c r="L233">
        <v>83.333333333333343</v>
      </c>
      <c r="M233">
        <v>92.307692307692307</v>
      </c>
      <c r="N233">
        <v>98</v>
      </c>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100</v>
      </c>
      <c r="E234">
        <v>99.033816425120762</v>
      </c>
      <c r="F234">
        <v>100</v>
      </c>
      <c r="G234">
        <v>100</v>
      </c>
      <c r="H234">
        <v>98.969072164948457</v>
      </c>
      <c r="I234">
        <v>100</v>
      </c>
      <c r="J234">
        <v>98.901098901098905</v>
      </c>
      <c r="K234">
        <v>98.4375</v>
      </c>
      <c r="L234">
        <v>100</v>
      </c>
      <c r="M234">
        <v>98.648648648648646</v>
      </c>
      <c r="N234">
        <v>99.363057324840767</v>
      </c>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58.333333333333336</v>
      </c>
      <c r="D235">
        <v>82.35294117647058</v>
      </c>
      <c r="E235">
        <v>83.07692307692308</v>
      </c>
      <c r="F235">
        <v>90</v>
      </c>
      <c r="G235">
        <v>85.034013605442169</v>
      </c>
      <c r="H235">
        <v>88.986784140969164</v>
      </c>
      <c r="I235">
        <v>100</v>
      </c>
      <c r="J235">
        <v>87.857142857142861</v>
      </c>
      <c r="K235">
        <v>85.405405405405403</v>
      </c>
      <c r="L235">
        <v>72.727272727272734</v>
      </c>
      <c r="M235">
        <v>87.786259541984734</v>
      </c>
      <c r="N235">
        <v>91.891891891891902</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100</v>
      </c>
      <c r="E236">
        <v>99.065420560747668</v>
      </c>
      <c r="F236">
        <v>100</v>
      </c>
      <c r="G236">
        <v>100</v>
      </c>
      <c r="H236">
        <v>100</v>
      </c>
      <c r="I236">
        <v>100</v>
      </c>
      <c r="J236">
        <v>97.872340425531917</v>
      </c>
      <c r="K236">
        <v>99.173553719008268</v>
      </c>
      <c r="L236">
        <v>100</v>
      </c>
      <c r="M236">
        <v>100</v>
      </c>
      <c r="N236">
        <v>96.428571428571431</v>
      </c>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90</v>
      </c>
      <c r="D237">
        <v>65.217391304347828</v>
      </c>
      <c r="E237">
        <v>63.525835866261396</v>
      </c>
      <c r="F237">
        <v>50</v>
      </c>
      <c r="G237">
        <v>56.962025316455701</v>
      </c>
      <c r="H237">
        <v>71.111111111111114</v>
      </c>
      <c r="I237">
        <v>100</v>
      </c>
      <c r="J237">
        <v>69.841269841269835</v>
      </c>
      <c r="K237">
        <v>59.069767441860463</v>
      </c>
      <c r="L237">
        <v>87.5</v>
      </c>
      <c r="M237">
        <v>59.322033898305079</v>
      </c>
      <c r="N237">
        <v>55.26315789473685</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100</v>
      </c>
      <c r="D238">
        <v>94.444444444444443</v>
      </c>
      <c r="E238">
        <v>97.53086419753086</v>
      </c>
      <c r="F238">
        <v>80</v>
      </c>
      <c r="G238">
        <v>94.117647058823522</v>
      </c>
      <c r="H238">
        <v>96.521739130434781</v>
      </c>
      <c r="I238">
        <v>100</v>
      </c>
      <c r="J238">
        <v>100</v>
      </c>
      <c r="K238">
        <v>100</v>
      </c>
      <c r="L238">
        <v>100</v>
      </c>
      <c r="M238">
        <v>95.454545454545453</v>
      </c>
      <c r="N238">
        <v>99.019607843137265</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88.888888888888886</v>
      </c>
      <c r="D239">
        <v>74.025974025974023</v>
      </c>
      <c r="E239">
        <v>70.760233918128662</v>
      </c>
      <c r="F239">
        <v>90.909090909090907</v>
      </c>
      <c r="G239">
        <v>63.529411764705877</v>
      </c>
      <c r="H239">
        <v>78.787878787878782</v>
      </c>
      <c r="I239">
        <v>100</v>
      </c>
      <c r="J239">
        <v>79.104477611940297</v>
      </c>
      <c r="K239">
        <v>75.65217391304347</v>
      </c>
      <c r="L239">
        <v>84.615384615384613</v>
      </c>
      <c r="M239">
        <v>67.605633802816897</v>
      </c>
      <c r="N239">
        <v>85.826771653543304</v>
      </c>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92.857142857142861</v>
      </c>
      <c r="E240">
        <v>90.425531914893625</v>
      </c>
      <c r="F240">
        <v>100</v>
      </c>
      <c r="G240">
        <v>89.583333333333343</v>
      </c>
      <c r="H240">
        <v>84.93150684931507</v>
      </c>
      <c r="I240">
        <v>100</v>
      </c>
      <c r="J240">
        <v>93.103448275862064</v>
      </c>
      <c r="K240">
        <v>86.904761904761912</v>
      </c>
      <c r="L240">
        <v>100</v>
      </c>
      <c r="M240">
        <v>97.435897435897431</v>
      </c>
      <c r="N240">
        <v>95.890410958904098</v>
      </c>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80</v>
      </c>
      <c r="D241">
        <v>88.235294117647058</v>
      </c>
      <c r="E241">
        <v>93.548387096774192</v>
      </c>
      <c r="F241">
        <v>80</v>
      </c>
      <c r="G241">
        <v>100</v>
      </c>
      <c r="H241">
        <v>98.305084745762713</v>
      </c>
      <c r="I241">
        <v>100</v>
      </c>
      <c r="J241">
        <v>94.444444444444443</v>
      </c>
      <c r="K241">
        <v>90.909090909090907</v>
      </c>
      <c r="L241">
        <v>100</v>
      </c>
      <c r="M241">
        <v>100</v>
      </c>
      <c r="N241">
        <v>97.435897435897431</v>
      </c>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88.888888888888886</v>
      </c>
      <c r="D242">
        <v>95.918367346938766</v>
      </c>
      <c r="E242">
        <v>87.610619469026545</v>
      </c>
      <c r="F242">
        <v>87.5</v>
      </c>
      <c r="G242">
        <v>93.939393939393938</v>
      </c>
      <c r="H242">
        <v>78.260869565217391</v>
      </c>
      <c r="I242">
        <v>100</v>
      </c>
      <c r="J242">
        <v>96.92307692307692</v>
      </c>
      <c r="K242">
        <v>97.391304347826093</v>
      </c>
      <c r="L242">
        <v>100</v>
      </c>
      <c r="M242">
        <v>92.156862745098039</v>
      </c>
      <c r="N242">
        <v>99.676375404530745</v>
      </c>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100</v>
      </c>
      <c r="D243">
        <v>90.625</v>
      </c>
      <c r="E243">
        <v>90.517241379310349</v>
      </c>
      <c r="F243">
        <v>66.666666666666657</v>
      </c>
      <c r="G243">
        <v>59.375</v>
      </c>
      <c r="H243">
        <v>85.593220338983059</v>
      </c>
      <c r="I243">
        <v>100</v>
      </c>
      <c r="J243">
        <v>71.794871794871796</v>
      </c>
      <c r="K243">
        <v>82.727272727272734</v>
      </c>
      <c r="L243">
        <v>66.666666666666657</v>
      </c>
      <c r="M243">
        <v>66.666666666666657</v>
      </c>
      <c r="N243">
        <v>90</v>
      </c>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97.61904761904762</v>
      </c>
      <c r="E244">
        <v>99.107142857142861</v>
      </c>
      <c r="F244">
        <v>100</v>
      </c>
      <c r="G244">
        <v>98.148148148148152</v>
      </c>
      <c r="H244">
        <v>94.680851063829792</v>
      </c>
      <c r="I244">
        <v>100</v>
      </c>
      <c r="J244">
        <v>93.023255813953483</v>
      </c>
      <c r="K244">
        <v>96.551724137931032</v>
      </c>
      <c r="L244">
        <v>100</v>
      </c>
      <c r="M244">
        <v>94.117647058823522</v>
      </c>
      <c r="N244">
        <v>97.029702970297024</v>
      </c>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83.333333333333343</v>
      </c>
      <c r="D245">
        <v>83.898305084745758</v>
      </c>
      <c r="E245">
        <v>78.07692307692308</v>
      </c>
      <c r="F245">
        <v>81.25</v>
      </c>
      <c r="G245">
        <v>69.607843137254903</v>
      </c>
      <c r="H245">
        <v>84.959349593495944</v>
      </c>
      <c r="I245">
        <v>87.5</v>
      </c>
      <c r="J245">
        <v>77.777777777777786</v>
      </c>
      <c r="K245">
        <v>84.92647058823529</v>
      </c>
      <c r="L245">
        <v>91.666666666666657</v>
      </c>
      <c r="M245">
        <v>75.862068965517238</v>
      </c>
      <c r="N245">
        <v>85.123966942148769</v>
      </c>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71.428571428571431</v>
      </c>
      <c r="D246">
        <v>92.222222222222229</v>
      </c>
      <c r="E246">
        <v>93.27354260089686</v>
      </c>
      <c r="F246">
        <v>90</v>
      </c>
      <c r="G246">
        <v>93.103448275862064</v>
      </c>
      <c r="H246">
        <v>93.680297397769522</v>
      </c>
      <c r="I246">
        <v>75</v>
      </c>
      <c r="J246">
        <v>91.044776119402982</v>
      </c>
      <c r="K246">
        <v>93.75</v>
      </c>
      <c r="L246">
        <v>87.5</v>
      </c>
      <c r="M246">
        <v>96.969696969696969</v>
      </c>
      <c r="N246">
        <v>94.907407407407405</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94.230769230769226</v>
      </c>
      <c r="E247">
        <v>94.354838709677423</v>
      </c>
      <c r="F247">
        <v>100</v>
      </c>
      <c r="G247">
        <v>93.877551020408163</v>
      </c>
      <c r="H247">
        <v>96.296296296296291</v>
      </c>
      <c r="I247">
        <v>90.909090909090907</v>
      </c>
      <c r="J247">
        <v>87.931034482758619</v>
      </c>
      <c r="K247">
        <v>98.518518518518519</v>
      </c>
      <c r="L247">
        <v>84.615384615384613</v>
      </c>
      <c r="M247">
        <v>100</v>
      </c>
      <c r="N247">
        <v>98.019801980198025</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80</v>
      </c>
      <c r="D248">
        <v>84.375</v>
      </c>
      <c r="E248">
        <v>89.583333333333343</v>
      </c>
      <c r="F248">
        <v>100</v>
      </c>
      <c r="G248">
        <v>95.652173913043484</v>
      </c>
      <c r="H248">
        <v>94.666666666666671</v>
      </c>
      <c r="I248">
        <v>83.333333333333343</v>
      </c>
      <c r="J248">
        <v>80</v>
      </c>
      <c r="K248">
        <v>91.333333333333329</v>
      </c>
      <c r="L248">
        <v>100</v>
      </c>
      <c r="M248">
        <v>90.909090909090907</v>
      </c>
      <c r="N248">
        <v>95.041322314049594</v>
      </c>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86.15384615384616</v>
      </c>
      <c r="E249">
        <v>96.8</v>
      </c>
      <c r="F249">
        <v>100</v>
      </c>
      <c r="G249">
        <v>90.909090909090907</v>
      </c>
      <c r="H249">
        <v>98.734177215189874</v>
      </c>
      <c r="I249">
        <v>75</v>
      </c>
      <c r="J249">
        <v>95.3125</v>
      </c>
      <c r="K249">
        <v>98.062015503875969</v>
      </c>
      <c r="L249">
        <v>100</v>
      </c>
      <c r="M249">
        <v>94.444444444444443</v>
      </c>
      <c r="N249">
        <v>99.069767441860463</v>
      </c>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53.846153846153847</v>
      </c>
      <c r="D250">
        <v>93.442622950819683</v>
      </c>
      <c r="E250">
        <v>95.495495495495504</v>
      </c>
      <c r="F250">
        <v>80</v>
      </c>
      <c r="G250">
        <v>88.235294117647058</v>
      </c>
      <c r="H250">
        <v>97.014925373134332</v>
      </c>
      <c r="I250">
        <v>63.157894736842103</v>
      </c>
      <c r="J250">
        <v>91.428571428571431</v>
      </c>
      <c r="K250">
        <v>97.345132743362825</v>
      </c>
      <c r="L250">
        <v>88.235294117647058</v>
      </c>
      <c r="M250">
        <v>98.076923076923066</v>
      </c>
      <c r="N250">
        <v>94.230769230769226</v>
      </c>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75</v>
      </c>
      <c r="D251">
        <v>90</v>
      </c>
      <c r="E251">
        <v>90.849673202614383</v>
      </c>
      <c r="F251">
        <v>100</v>
      </c>
      <c r="G251">
        <v>91.17647058823529</v>
      </c>
      <c r="H251">
        <v>85.820895522388057</v>
      </c>
      <c r="I251">
        <v>100</v>
      </c>
      <c r="J251">
        <v>96.428571428571431</v>
      </c>
      <c r="K251">
        <v>90.259740259740255</v>
      </c>
      <c r="L251">
        <v>100</v>
      </c>
      <c r="M251">
        <v>85.714285714285708</v>
      </c>
      <c r="N251">
        <v>95.270270270270274</v>
      </c>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91.111111111111114</v>
      </c>
      <c r="E252">
        <v>95.049504950495049</v>
      </c>
      <c r="F252">
        <v>100</v>
      </c>
      <c r="G252">
        <v>93.939393939393938</v>
      </c>
      <c r="H252">
        <v>97.65625</v>
      </c>
      <c r="I252">
        <v>85.714285714285708</v>
      </c>
      <c r="J252">
        <v>89.65517241379311</v>
      </c>
      <c r="K252">
        <v>94.680851063829792</v>
      </c>
      <c r="L252">
        <v>100</v>
      </c>
      <c r="M252">
        <v>87.096774193548384</v>
      </c>
      <c r="N252">
        <v>89.473684210526315</v>
      </c>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v>100</v>
      </c>
      <c r="G253">
        <v>100</v>
      </c>
      <c r="H253">
        <v>100</v>
      </c>
      <c r="I253"/>
      <c r="J253">
        <v>100</v>
      </c>
      <c r="K253">
        <v>97.727272727272734</v>
      </c>
      <c r="L253">
        <v>100</v>
      </c>
      <c r="M253">
        <v>100</v>
      </c>
      <c r="N253">
        <v>100</v>
      </c>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83.333333333333343</v>
      </c>
      <c r="D254">
        <v>89.65517241379311</v>
      </c>
      <c r="E254">
        <v>93.684210526315795</v>
      </c>
      <c r="F254">
        <v>100</v>
      </c>
      <c r="G254">
        <v>85.13513513513513</v>
      </c>
      <c r="H254">
        <v>94.285714285714278</v>
      </c>
      <c r="I254">
        <v>90</v>
      </c>
      <c r="J254">
        <v>85.074626865671647</v>
      </c>
      <c r="K254">
        <v>90.797546012269933</v>
      </c>
      <c r="L254">
        <v>60</v>
      </c>
      <c r="M254">
        <v>85.714285714285708</v>
      </c>
      <c r="N254">
        <v>88.387096774193552</v>
      </c>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100</v>
      </c>
      <c r="D255">
        <v>36.764705882352942</v>
      </c>
      <c r="E255">
        <v>65.94202898550725</v>
      </c>
      <c r="F255">
        <v>83.333333333333343</v>
      </c>
      <c r="G255">
        <v>70</v>
      </c>
      <c r="H255">
        <v>72.928176795580114</v>
      </c>
      <c r="I255">
        <v>0</v>
      </c>
      <c r="J255">
        <v>64.406779661016941</v>
      </c>
      <c r="K255">
        <v>79.824561403508781</v>
      </c>
      <c r="L255">
        <v>69.230769230769226</v>
      </c>
      <c r="M255">
        <v>74.137931034482762</v>
      </c>
      <c r="N255">
        <v>82.399999999999991</v>
      </c>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94.871794871794862</v>
      </c>
      <c r="E256">
        <v>99.122807017543863</v>
      </c>
      <c r="F256">
        <v>100</v>
      </c>
      <c r="G256">
        <v>97.058823529411768</v>
      </c>
      <c r="H256">
        <v>100</v>
      </c>
      <c r="I256">
        <v>100</v>
      </c>
      <c r="J256">
        <v>95.555555555555557</v>
      </c>
      <c r="K256">
        <v>96.932515337423311</v>
      </c>
      <c r="L256">
        <v>100</v>
      </c>
      <c r="M256">
        <v>98.245614035087712</v>
      </c>
      <c r="N256">
        <v>97.794117647058826</v>
      </c>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77.777777777777786</v>
      </c>
      <c r="D257">
        <v>71.111111111111114</v>
      </c>
      <c r="E257">
        <v>87.570621468926561</v>
      </c>
      <c r="F257">
        <v>90</v>
      </c>
      <c r="G257">
        <v>74.545454545454547</v>
      </c>
      <c r="H257">
        <v>87.79069767441861</v>
      </c>
      <c r="I257">
        <v>80</v>
      </c>
      <c r="J257">
        <v>83.870967741935488</v>
      </c>
      <c r="K257">
        <v>87.5</v>
      </c>
      <c r="L257">
        <v>94.117647058823522</v>
      </c>
      <c r="M257">
        <v>86.36363636363636</v>
      </c>
      <c r="N257">
        <v>89.705882352941174</v>
      </c>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100</v>
      </c>
      <c r="D258">
        <v>84.523809523809518</v>
      </c>
      <c r="E258">
        <v>91.855203619909503</v>
      </c>
      <c r="F258">
        <v>75</v>
      </c>
      <c r="G258">
        <v>93.670886075949369</v>
      </c>
      <c r="H258">
        <v>97.014925373134332</v>
      </c>
      <c r="I258">
        <v>81.818181818181827</v>
      </c>
      <c r="J258">
        <v>98.275862068965509</v>
      </c>
      <c r="K258">
        <v>94.883720930232556</v>
      </c>
      <c r="L258">
        <v>100</v>
      </c>
      <c r="M258">
        <v>85.483870967741936</v>
      </c>
      <c r="N258">
        <v>96.713615023474176</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80</v>
      </c>
      <c r="D259">
        <v>67.64705882352942</v>
      </c>
      <c r="E259">
        <v>75.52447552447552</v>
      </c>
      <c r="F259">
        <v>62.5</v>
      </c>
      <c r="G259">
        <v>79.166666666666657</v>
      </c>
      <c r="H259">
        <v>91.21621621621621</v>
      </c>
      <c r="I259">
        <v>75</v>
      </c>
      <c r="J259">
        <v>75.862068965517238</v>
      </c>
      <c r="K259">
        <v>85.106382978723403</v>
      </c>
      <c r="L259">
        <v>85.714285714285708</v>
      </c>
      <c r="M259">
        <v>86.206896551724128</v>
      </c>
      <c r="N259">
        <v>87.155963302752298</v>
      </c>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85.714285714285708</v>
      </c>
      <c r="D260">
        <v>64.935064935064929</v>
      </c>
      <c r="E260">
        <v>79.545454545454547</v>
      </c>
      <c r="F260">
        <v>90</v>
      </c>
      <c r="G260">
        <v>67.532467532467535</v>
      </c>
      <c r="H260">
        <v>86.524822695035468</v>
      </c>
      <c r="I260">
        <v>83.333333333333343</v>
      </c>
      <c r="J260">
        <v>71.25</v>
      </c>
      <c r="K260">
        <v>88.079470198675494</v>
      </c>
      <c r="L260">
        <v>73.333333333333329</v>
      </c>
      <c r="M260">
        <v>66.129032258064512</v>
      </c>
      <c r="N260">
        <v>76.296296296296291</v>
      </c>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60</v>
      </c>
      <c r="D261">
        <v>97.222222222222214</v>
      </c>
      <c r="E261">
        <v>98.857142857142861</v>
      </c>
      <c r="F261">
        <v>100</v>
      </c>
      <c r="G261">
        <v>100</v>
      </c>
      <c r="H261">
        <v>100</v>
      </c>
      <c r="I261">
        <v>100</v>
      </c>
      <c r="J261">
        <v>94.73684210526315</v>
      </c>
      <c r="K261">
        <v>99.465240641711233</v>
      </c>
      <c r="L261">
        <v>100</v>
      </c>
      <c r="M261">
        <v>97.368421052631575</v>
      </c>
      <c r="N261">
        <v>98.265895953757223</v>
      </c>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100</v>
      </c>
      <c r="D262">
        <v>97.872340425531917</v>
      </c>
      <c r="E262">
        <v>99.346405228758172</v>
      </c>
      <c r="F262">
        <v>91.666666666666657</v>
      </c>
      <c r="G262">
        <v>100</v>
      </c>
      <c r="H262">
        <v>99.056603773584911</v>
      </c>
      <c r="I262">
        <v>50</v>
      </c>
      <c r="J262">
        <v>98.181818181818187</v>
      </c>
      <c r="K262">
        <v>99.367088607594937</v>
      </c>
      <c r="L262">
        <v>100</v>
      </c>
      <c r="M262">
        <v>100</v>
      </c>
      <c r="N262">
        <v>99.206349206349216</v>
      </c>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100</v>
      </c>
      <c r="D263">
        <v>85.483870967741936</v>
      </c>
      <c r="E263">
        <v>92.825112107623326</v>
      </c>
      <c r="F263">
        <v>100</v>
      </c>
      <c r="G263">
        <v>91.891891891891902</v>
      </c>
      <c r="H263">
        <v>95.161290322580655</v>
      </c>
      <c r="I263">
        <v>100</v>
      </c>
      <c r="J263">
        <v>88.157894736842096</v>
      </c>
      <c r="K263">
        <v>96.019900497512438</v>
      </c>
      <c r="L263">
        <v>80</v>
      </c>
      <c r="M263">
        <v>86.206896551724128</v>
      </c>
      <c r="N263">
        <v>87.058823529411768</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80</v>
      </c>
      <c r="D264">
        <v>80.701754385964904</v>
      </c>
      <c r="E264">
        <v>83.561643835616437</v>
      </c>
      <c r="F264">
        <v>100</v>
      </c>
      <c r="G264">
        <v>83.870967741935488</v>
      </c>
      <c r="H264">
        <v>86.131386861313857</v>
      </c>
      <c r="I264">
        <v>80</v>
      </c>
      <c r="J264">
        <v>79.591836734693871</v>
      </c>
      <c r="K264">
        <v>90.598290598290603</v>
      </c>
      <c r="L264">
        <v>66.666666666666657</v>
      </c>
      <c r="M264">
        <v>86</v>
      </c>
      <c r="N264">
        <v>90.625</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100</v>
      </c>
      <c r="D265">
        <v>96.350364963503651</v>
      </c>
      <c r="E265">
        <v>84.415584415584405</v>
      </c>
      <c r="F265">
        <v>93.333333333333329</v>
      </c>
      <c r="G265">
        <v>89.84375</v>
      </c>
      <c r="H265">
        <v>87.804878048780495</v>
      </c>
      <c r="I265">
        <v>78.571428571428569</v>
      </c>
      <c r="J265">
        <v>95.8041958041958</v>
      </c>
      <c r="K265">
        <v>84.05797101449275</v>
      </c>
      <c r="L265">
        <v>100</v>
      </c>
      <c r="M265">
        <v>92.125984251968504</v>
      </c>
      <c r="N265">
        <v>86.956521739130437</v>
      </c>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100</v>
      </c>
      <c r="D266">
        <v>83.516483516483518</v>
      </c>
      <c r="E266">
        <v>87.704918032786878</v>
      </c>
      <c r="F266">
        <v>100</v>
      </c>
      <c r="G266">
        <v>89.583333333333343</v>
      </c>
      <c r="H266">
        <v>84.848484848484844</v>
      </c>
      <c r="I266">
        <v>87.5</v>
      </c>
      <c r="J266">
        <v>82.758620689655174</v>
      </c>
      <c r="K266">
        <v>80.536912751677846</v>
      </c>
      <c r="L266">
        <v>87.5</v>
      </c>
      <c r="M266">
        <v>92.5</v>
      </c>
      <c r="N266">
        <v>86.821705426356587</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80</v>
      </c>
      <c r="D267">
        <v>79.245283018867923</v>
      </c>
      <c r="E267">
        <v>78.983050847457619</v>
      </c>
      <c r="F267">
        <v>100</v>
      </c>
      <c r="G267">
        <v>66.666666666666657</v>
      </c>
      <c r="H267">
        <v>80.653266331658287</v>
      </c>
      <c r="I267">
        <v>100</v>
      </c>
      <c r="J267">
        <v>72.727272727272734</v>
      </c>
      <c r="K267">
        <v>80</v>
      </c>
      <c r="L267">
        <v>100</v>
      </c>
      <c r="M267">
        <v>76.119402985074629</v>
      </c>
      <c r="N267">
        <v>82.730923694779108</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98.591549295774655</v>
      </c>
      <c r="E268">
        <v>95.13274336283186</v>
      </c>
      <c r="F268">
        <v>100</v>
      </c>
      <c r="G268">
        <v>97.647058823529406</v>
      </c>
      <c r="H268">
        <v>98.841698841698843</v>
      </c>
      <c r="I268">
        <v>100</v>
      </c>
      <c r="J268">
        <v>97.802197802197796</v>
      </c>
      <c r="K268">
        <v>97.071129707112974</v>
      </c>
      <c r="L268">
        <v>100</v>
      </c>
      <c r="M268">
        <v>95.744680851063833</v>
      </c>
      <c r="N268">
        <v>98.892988929889299</v>
      </c>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100</v>
      </c>
      <c r="D269">
        <v>79.032258064516128</v>
      </c>
      <c r="E269">
        <v>88.405797101449281</v>
      </c>
      <c r="F269">
        <v>76.923076923076934</v>
      </c>
      <c r="G269">
        <v>77.777777777777786</v>
      </c>
      <c r="H269">
        <v>84.10041841004184</v>
      </c>
      <c r="I269">
        <v>76.923076923076934</v>
      </c>
      <c r="J269">
        <v>83.950617283950606</v>
      </c>
      <c r="K269">
        <v>90.134529147982065</v>
      </c>
      <c r="L269">
        <v>100</v>
      </c>
      <c r="M269">
        <v>65.686274509803923</v>
      </c>
      <c r="N269">
        <v>91.387559808612437</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90.909090909090907</v>
      </c>
      <c r="D270">
        <v>89.230769230769241</v>
      </c>
      <c r="E270">
        <v>97.916666666666657</v>
      </c>
      <c r="F270">
        <v>92.857142857142861</v>
      </c>
      <c r="G270">
        <v>98.387096774193552</v>
      </c>
      <c r="H270">
        <v>98.477157360406082</v>
      </c>
      <c r="I270">
        <v>94.117647058823522</v>
      </c>
      <c r="J270">
        <v>93.103448275862064</v>
      </c>
      <c r="K270">
        <v>98.230088495575217</v>
      </c>
      <c r="L270">
        <v>87.5</v>
      </c>
      <c r="M270">
        <v>87.5</v>
      </c>
      <c r="N270">
        <v>96.208530805687204</v>
      </c>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100</v>
      </c>
      <c r="D271">
        <v>91.304347826086953</v>
      </c>
      <c r="E271">
        <v>92.093023255813961</v>
      </c>
      <c r="F271">
        <v>93.333333333333329</v>
      </c>
      <c r="G271">
        <v>92.553191489361694</v>
      </c>
      <c r="H271">
        <v>88.69047619047619</v>
      </c>
      <c r="I271">
        <v>100</v>
      </c>
      <c r="J271">
        <v>92.307692307692307</v>
      </c>
      <c r="K271">
        <v>91.372549019607845</v>
      </c>
      <c r="L271">
        <v>78.571428571428569</v>
      </c>
      <c r="M271">
        <v>89</v>
      </c>
      <c r="N271">
        <v>88.317757009345797</v>
      </c>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61.53846153846154</v>
      </c>
      <c r="D272">
        <v>48.4375</v>
      </c>
      <c r="E272">
        <v>83.908045977011497</v>
      </c>
      <c r="F272">
        <v>46.153846153846153</v>
      </c>
      <c r="G272">
        <v>43.859649122807014</v>
      </c>
      <c r="H272">
        <v>84.251968503937007</v>
      </c>
      <c r="I272">
        <v>61.53846153846154</v>
      </c>
      <c r="J272">
        <v>70.689655172413794</v>
      </c>
      <c r="K272">
        <v>87.022900763358777</v>
      </c>
      <c r="L272">
        <v>76.923076923076934</v>
      </c>
      <c r="M272">
        <v>75.757575757575751</v>
      </c>
      <c r="N272">
        <v>87.162162162162161</v>
      </c>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81.300813008130078</v>
      </c>
      <c r="E273">
        <v>93.478260869565219</v>
      </c>
      <c r="F273">
        <v>100</v>
      </c>
      <c r="G273">
        <v>88.679245283018872</v>
      </c>
      <c r="H273">
        <v>92.116182572614107</v>
      </c>
      <c r="I273">
        <v>50</v>
      </c>
      <c r="J273">
        <v>80.180180180180187</v>
      </c>
      <c r="K273">
        <v>92.788461538461547</v>
      </c>
      <c r="L273">
        <v>100</v>
      </c>
      <c r="M273">
        <v>82.456140350877192</v>
      </c>
      <c r="N273">
        <v>90.721649484536087</v>
      </c>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100</v>
      </c>
      <c r="D274">
        <v>78.600823045267489</v>
      </c>
      <c r="E274">
        <v>76.056338028169009</v>
      </c>
      <c r="F274">
        <v>100</v>
      </c>
      <c r="G274">
        <v>75</v>
      </c>
      <c r="H274">
        <v>73.224043715847003</v>
      </c>
      <c r="I274">
        <v>80</v>
      </c>
      <c r="J274">
        <v>65.727699530516432</v>
      </c>
      <c r="K274">
        <v>66.049382716049394</v>
      </c>
      <c r="L274">
        <v>88.888888888888886</v>
      </c>
      <c r="M274">
        <v>85.714285714285708</v>
      </c>
      <c r="N274">
        <v>89.65517241379311</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100</v>
      </c>
      <c r="D275">
        <v>85.714285714285708</v>
      </c>
      <c r="E275">
        <v>80</v>
      </c>
      <c r="F275">
        <v>92.307692307692307</v>
      </c>
      <c r="G275">
        <v>65.789473684210535</v>
      </c>
      <c r="H275">
        <v>69.902912621359221</v>
      </c>
      <c r="I275">
        <v>75</v>
      </c>
      <c r="J275">
        <v>77.272727272727266</v>
      </c>
      <c r="K275">
        <v>76.890756302521012</v>
      </c>
      <c r="L275">
        <v>62.5</v>
      </c>
      <c r="M275">
        <v>73.015873015873012</v>
      </c>
      <c r="N275">
        <v>71.291866028708128</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80</v>
      </c>
      <c r="D276">
        <v>91.525423728813564</v>
      </c>
      <c r="E276">
        <v>96.58536585365853</v>
      </c>
      <c r="F276">
        <v>100</v>
      </c>
      <c r="G276">
        <v>96.610169491525426</v>
      </c>
      <c r="H276">
        <v>90.047393364928908</v>
      </c>
      <c r="I276">
        <v>100</v>
      </c>
      <c r="J276">
        <v>97.368421052631575</v>
      </c>
      <c r="K276">
        <v>95.774647887323937</v>
      </c>
      <c r="L276">
        <v>88.888888888888886</v>
      </c>
      <c r="M276">
        <v>91.17647058823529</v>
      </c>
      <c r="N276">
        <v>96.132596685082873</v>
      </c>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96.666666666666671</v>
      </c>
      <c r="E277">
        <v>98.245614035087712</v>
      </c>
      <c r="F277">
        <v>100</v>
      </c>
      <c r="G277">
        <v>90.909090909090907</v>
      </c>
      <c r="H277">
        <v>99</v>
      </c>
      <c r="I277">
        <v>100</v>
      </c>
      <c r="J277">
        <v>100</v>
      </c>
      <c r="K277">
        <v>93.137254901960787</v>
      </c>
      <c r="L277">
        <v>100</v>
      </c>
      <c r="M277">
        <v>100</v>
      </c>
      <c r="N277">
        <v>98.876404494382015</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100</v>
      </c>
      <c r="D278">
        <v>90.625</v>
      </c>
      <c r="E278">
        <v>98.233215547703182</v>
      </c>
      <c r="F278">
        <v>100</v>
      </c>
      <c r="G278">
        <v>96.739130434782609</v>
      </c>
      <c r="H278">
        <v>97.333333333333343</v>
      </c>
      <c r="I278">
        <v>100</v>
      </c>
      <c r="J278">
        <v>95.294117647058812</v>
      </c>
      <c r="K278">
        <v>93.07228915662651</v>
      </c>
      <c r="L278">
        <v>100</v>
      </c>
      <c r="M278">
        <v>89.473684210526315</v>
      </c>
      <c r="N278">
        <v>85.919540229885058</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96.15384615384616</v>
      </c>
      <c r="D279">
        <v>87.671232876712324</v>
      </c>
      <c r="E279">
        <v>95.583596214511047</v>
      </c>
      <c r="F279">
        <v>100</v>
      </c>
      <c r="G279">
        <v>87.931034482758619</v>
      </c>
      <c r="H279">
        <v>94.137931034482762</v>
      </c>
      <c r="I279">
        <v>84.615384615384613</v>
      </c>
      <c r="J279">
        <v>92.452830188679243</v>
      </c>
      <c r="K279">
        <v>92.173913043478265</v>
      </c>
      <c r="L279">
        <v>95</v>
      </c>
      <c r="M279">
        <v>92.173913043478265</v>
      </c>
      <c r="N279">
        <v>93.478260869565219</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100</v>
      </c>
      <c r="D280">
        <v>93.333333333333329</v>
      </c>
      <c r="E280">
        <v>95.041322314049594</v>
      </c>
      <c r="F280">
        <v>100</v>
      </c>
      <c r="G280">
        <v>86.666666666666671</v>
      </c>
      <c r="H280">
        <v>95.26627218934911</v>
      </c>
      <c r="I280">
        <v>66.666666666666657</v>
      </c>
      <c r="J280">
        <v>90.909090909090907</v>
      </c>
      <c r="K280">
        <v>95.454545454545453</v>
      </c>
      <c r="L280"/>
      <c r="M280">
        <v>85.714285714285708</v>
      </c>
      <c r="N280">
        <v>94.354838709677423</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80.952380952380949</v>
      </c>
      <c r="D281">
        <v>75.510204081632651</v>
      </c>
      <c r="E281">
        <v>76.142131979695421</v>
      </c>
      <c r="F281">
        <v>100</v>
      </c>
      <c r="G281">
        <v>75</v>
      </c>
      <c r="H281">
        <v>76.824034334763951</v>
      </c>
      <c r="I281">
        <v>90</v>
      </c>
      <c r="J281">
        <v>82.258064516129039</v>
      </c>
      <c r="K281">
        <v>80.952380952380949</v>
      </c>
      <c r="L281">
        <v>75</v>
      </c>
      <c r="M281">
        <v>81.578947368421055</v>
      </c>
      <c r="N281">
        <v>80.729166666666657</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81.818181818181827</v>
      </c>
      <c r="E282">
        <v>89.130434782608688</v>
      </c>
      <c r="F282">
        <v>100</v>
      </c>
      <c r="G282">
        <v>75.675675675675677</v>
      </c>
      <c r="H282">
        <v>93.478260869565219</v>
      </c>
      <c r="I282">
        <v>100</v>
      </c>
      <c r="J282">
        <v>84.313725490196077</v>
      </c>
      <c r="K282">
        <v>95.161290322580655</v>
      </c>
      <c r="L282">
        <v>100</v>
      </c>
      <c r="M282">
        <v>76.59574468085107</v>
      </c>
      <c r="N282">
        <v>82.926829268292678</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60</v>
      </c>
      <c r="D283">
        <v>62.68656716417911</v>
      </c>
      <c r="E283">
        <v>78.632478632478637</v>
      </c>
      <c r="F283">
        <v>50</v>
      </c>
      <c r="G283">
        <v>72.727272727272734</v>
      </c>
      <c r="H283">
        <v>82.568807339449549</v>
      </c>
      <c r="I283">
        <v>75</v>
      </c>
      <c r="J283">
        <v>67.441860465116278</v>
      </c>
      <c r="K283">
        <v>83.969465648854964</v>
      </c>
      <c r="L283">
        <v>100</v>
      </c>
      <c r="M283">
        <v>77.58620689655173</v>
      </c>
      <c r="N283">
        <v>89.010989010989007</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94.117647058823522</v>
      </c>
      <c r="D284">
        <v>100</v>
      </c>
      <c r="E284">
        <v>100</v>
      </c>
      <c r="F284">
        <v>92.857142857142861</v>
      </c>
      <c r="G284">
        <v>100</v>
      </c>
      <c r="H284">
        <v>98.165137614678898</v>
      </c>
      <c r="I284">
        <v>88.888888888888886</v>
      </c>
      <c r="J284">
        <v>100</v>
      </c>
      <c r="K284">
        <v>96.907216494845358</v>
      </c>
      <c r="L284">
        <v>93.333333333333329</v>
      </c>
      <c r="M284">
        <v>96.36363636363636</v>
      </c>
      <c r="N284">
        <v>88.297872340425528</v>
      </c>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70</v>
      </c>
      <c r="D285">
        <v>76.582278481012651</v>
      </c>
      <c r="E285">
        <v>77.58620689655173</v>
      </c>
      <c r="F285">
        <v>89.473684210526315</v>
      </c>
      <c r="G285">
        <v>85.90604026845638</v>
      </c>
      <c r="H285">
        <v>88.009592326139085</v>
      </c>
      <c r="I285">
        <v>91.666666666666657</v>
      </c>
      <c r="J285">
        <v>84.732824427480907</v>
      </c>
      <c r="K285">
        <v>89.48863636363636</v>
      </c>
      <c r="L285">
        <v>83.333333333333343</v>
      </c>
      <c r="M285">
        <v>81.666666666666671</v>
      </c>
      <c r="N285">
        <v>85.666666666666671</v>
      </c>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87.5</v>
      </c>
      <c r="D286">
        <v>96.05263157894737</v>
      </c>
      <c r="E286">
        <v>93.30708661417323</v>
      </c>
      <c r="F286">
        <v>88.888888888888886</v>
      </c>
      <c r="G286">
        <v>96.721311475409834</v>
      </c>
      <c r="H286">
        <v>96.36363636363636</v>
      </c>
      <c r="I286">
        <v>84.615384615384613</v>
      </c>
      <c r="J286">
        <v>89.189189189189193</v>
      </c>
      <c r="K286">
        <v>96.610169491525426</v>
      </c>
      <c r="L286">
        <v>86.666666666666671</v>
      </c>
      <c r="M286">
        <v>85.333333333333343</v>
      </c>
      <c r="N286">
        <v>96.296296296296291</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100</v>
      </c>
      <c r="D287">
        <v>80.952380952380949</v>
      </c>
      <c r="E287">
        <v>88.20754716981132</v>
      </c>
      <c r="F287">
        <v>94.444444444444443</v>
      </c>
      <c r="G287">
        <v>86.206896551724128</v>
      </c>
      <c r="H287">
        <v>73.611111111111114</v>
      </c>
      <c r="I287">
        <v>100</v>
      </c>
      <c r="J287">
        <v>95.081967213114751</v>
      </c>
      <c r="K287">
        <v>92.5</v>
      </c>
      <c r="L287">
        <v>90.909090909090907</v>
      </c>
      <c r="M287">
        <v>96.36363636363636</v>
      </c>
      <c r="N287">
        <v>96.666666666666671</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71.428571428571431</v>
      </c>
      <c r="D288">
        <v>79.822616407982267</v>
      </c>
      <c r="E288">
        <v>68.486739469578779</v>
      </c>
      <c r="F288">
        <v>100</v>
      </c>
      <c r="G288">
        <v>75.65392354124748</v>
      </c>
      <c r="H288">
        <v>72.193877551020407</v>
      </c>
      <c r="I288">
        <v>75</v>
      </c>
      <c r="J288">
        <v>71.459227467811161</v>
      </c>
      <c r="K288">
        <v>71.989174560216512</v>
      </c>
      <c r="L288">
        <v>100</v>
      </c>
      <c r="M288">
        <v>82.618510158013549</v>
      </c>
      <c r="N288">
        <v>75.38699690402477</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c r="D289"/>
      <c r="E289"/>
      <c r="F289">
        <v>100</v>
      </c>
      <c r="G289">
        <v>91.489361702127653</v>
      </c>
      <c r="H289">
        <v>84.210526315789465</v>
      </c>
      <c r="I289">
        <v>80</v>
      </c>
      <c r="J289">
        <v>86.36363636363636</v>
      </c>
      <c r="K289">
        <v>83.91959798994975</v>
      </c>
      <c r="L289">
        <v>90.909090909090907</v>
      </c>
      <c r="M289">
        <v>86.274509803921575</v>
      </c>
      <c r="N289">
        <v>83.870967741935488</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88.888888888888886</v>
      </c>
      <c r="D290">
        <v>86.538461538461547</v>
      </c>
      <c r="E290">
        <v>97.794117647058826</v>
      </c>
      <c r="F290">
        <v>100</v>
      </c>
      <c r="G290">
        <v>82.456140350877192</v>
      </c>
      <c r="H290">
        <v>90.551181102362193</v>
      </c>
      <c r="I290">
        <v>100</v>
      </c>
      <c r="J290">
        <v>86.79245283018868</v>
      </c>
      <c r="K290">
        <v>91.851851851851848</v>
      </c>
      <c r="L290">
        <v>92.307692307692307</v>
      </c>
      <c r="M290">
        <v>84.313725490196077</v>
      </c>
      <c r="N290">
        <v>83.66013071895425</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70.967741935483872</v>
      </c>
      <c r="D291">
        <v>75.912408759124077</v>
      </c>
      <c r="E291">
        <v>69.166666666666671</v>
      </c>
      <c r="F291">
        <v>78.787878787878782</v>
      </c>
      <c r="G291">
        <v>82.278481012658233</v>
      </c>
      <c r="H291">
        <v>83.372365339578465</v>
      </c>
      <c r="I291">
        <v>89.285714285714292</v>
      </c>
      <c r="J291">
        <v>91.479820627802695</v>
      </c>
      <c r="K291">
        <v>91.048951048951039</v>
      </c>
      <c r="L291">
        <v>96</v>
      </c>
      <c r="M291">
        <v>88</v>
      </c>
      <c r="N291">
        <v>92.452830188679243</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89.0625</v>
      </c>
      <c r="E292">
        <v>92.578125</v>
      </c>
      <c r="F292">
        <v>100</v>
      </c>
      <c r="G292">
        <v>88.095238095238088</v>
      </c>
      <c r="H292">
        <v>94.420600858369099</v>
      </c>
      <c r="I292">
        <v>80</v>
      </c>
      <c r="J292">
        <v>94.117647058823522</v>
      </c>
      <c r="K292">
        <v>95.041322314049594</v>
      </c>
      <c r="L292">
        <v>71.428571428571431</v>
      </c>
      <c r="M292">
        <v>95.081967213114751</v>
      </c>
      <c r="N292">
        <v>96.33507853403141</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100</v>
      </c>
      <c r="D293">
        <v>80.519480519480524</v>
      </c>
      <c r="E293">
        <v>80.250783699059554</v>
      </c>
      <c r="F293">
        <v>100</v>
      </c>
      <c r="G293">
        <v>80.597014925373131</v>
      </c>
      <c r="H293">
        <v>83.974358974358978</v>
      </c>
      <c r="I293">
        <v>100</v>
      </c>
      <c r="J293">
        <v>77.142857142857153</v>
      </c>
      <c r="K293">
        <v>83.561643835616437</v>
      </c>
      <c r="L293">
        <v>85.714285714285708</v>
      </c>
      <c r="M293">
        <v>82.926829268292678</v>
      </c>
      <c r="N293">
        <v>81.355932203389841</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70</v>
      </c>
      <c r="D294">
        <v>80</v>
      </c>
      <c r="E294">
        <v>82.110091743119256</v>
      </c>
      <c r="F294">
        <v>100</v>
      </c>
      <c r="G294">
        <v>82.926829268292678</v>
      </c>
      <c r="H294">
        <v>90.285714285714278</v>
      </c>
      <c r="I294">
        <v>87.5</v>
      </c>
      <c r="J294">
        <v>83.333333333333343</v>
      </c>
      <c r="K294">
        <v>81</v>
      </c>
      <c r="L294">
        <v>90.909090909090907</v>
      </c>
      <c r="M294">
        <v>89.473684210526315</v>
      </c>
      <c r="N294">
        <v>85.483870967741936</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84.848484848484844</v>
      </c>
      <c r="E295">
        <v>83.07692307692308</v>
      </c>
      <c r="F295">
        <v>100</v>
      </c>
      <c r="G295">
        <v>91.891891891891902</v>
      </c>
      <c r="H295">
        <v>79.56204379562044</v>
      </c>
      <c r="I295">
        <v>100</v>
      </c>
      <c r="J295">
        <v>75.862068965517238</v>
      </c>
      <c r="K295">
        <v>76.111111111111114</v>
      </c>
      <c r="L295">
        <v>50</v>
      </c>
      <c r="M295">
        <v>81.25</v>
      </c>
      <c r="N295">
        <v>74.264705882352942</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100</v>
      </c>
      <c r="E296">
        <v>100</v>
      </c>
      <c r="F296">
        <v>100</v>
      </c>
      <c r="G296">
        <v>98.113207547169807</v>
      </c>
      <c r="H296">
        <v>99.305555555555557</v>
      </c>
      <c r="I296">
        <v>92.307692307692307</v>
      </c>
      <c r="J296">
        <v>100</v>
      </c>
      <c r="K296">
        <v>98.076923076923066</v>
      </c>
      <c r="L296">
        <v>100</v>
      </c>
      <c r="M296">
        <v>100</v>
      </c>
      <c r="N296">
        <v>99.253731343283576</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92.307692307692307</v>
      </c>
      <c r="E297">
        <v>81.87919463087249</v>
      </c>
      <c r="F297">
        <v>100</v>
      </c>
      <c r="G297">
        <v>93.181818181818173</v>
      </c>
      <c r="H297">
        <v>87.943262411347519</v>
      </c>
      <c r="I297">
        <v>100</v>
      </c>
      <c r="J297">
        <v>82.978723404255319</v>
      </c>
      <c r="K297">
        <v>88.343558282208591</v>
      </c>
      <c r="L297">
        <v>100</v>
      </c>
      <c r="M297">
        <v>97.61904761904762</v>
      </c>
      <c r="N297">
        <v>94.857142857142861</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50</v>
      </c>
      <c r="D298">
        <v>90.909090909090907</v>
      </c>
      <c r="E298">
        <v>97.058823529411768</v>
      </c>
      <c r="F298" t="s">
        <v>901</v>
      </c>
      <c r="G298">
        <v>87.5</v>
      </c>
      <c r="H298">
        <v>98.98989898989899</v>
      </c>
      <c r="I298">
        <v>100</v>
      </c>
      <c r="J298">
        <v>92.857142857142861</v>
      </c>
      <c r="K298">
        <v>95.348837209302332</v>
      </c>
      <c r="L298">
        <v>100</v>
      </c>
      <c r="M298">
        <v>96.969696969696969</v>
      </c>
      <c r="N298">
        <v>95.161290322580655</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100</v>
      </c>
      <c r="D299">
        <v>75.555555555555557</v>
      </c>
      <c r="E299">
        <v>88.505747126436788</v>
      </c>
      <c r="F299">
        <v>100</v>
      </c>
      <c r="G299">
        <v>88.461538461538453</v>
      </c>
      <c r="H299">
        <v>92.741935483870961</v>
      </c>
      <c r="I299">
        <v>75</v>
      </c>
      <c r="J299">
        <v>87.272727272727266</v>
      </c>
      <c r="K299">
        <v>95.959595959595958</v>
      </c>
      <c r="L299">
        <v>100</v>
      </c>
      <c r="M299">
        <v>95.238095238095227</v>
      </c>
      <c r="N299">
        <v>92.222222222222229</v>
      </c>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100</v>
      </c>
      <c r="D300">
        <v>81.372549019607845</v>
      </c>
      <c r="E300">
        <v>77.889447236180914</v>
      </c>
      <c r="F300">
        <v>77.777777777777786</v>
      </c>
      <c r="G300">
        <v>76.237623762376245</v>
      </c>
      <c r="H300">
        <v>86.813186813186817</v>
      </c>
      <c r="I300">
        <v>55.555555555555557</v>
      </c>
      <c r="J300">
        <v>70.833333333333343</v>
      </c>
      <c r="K300">
        <v>83.333333333333343</v>
      </c>
      <c r="L300">
        <v>62.5</v>
      </c>
      <c r="M300">
        <v>84.297520661157023</v>
      </c>
      <c r="N300">
        <v>84.536082474226802</v>
      </c>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85.714285714285708</v>
      </c>
      <c r="D301">
        <v>72.972972972972968</v>
      </c>
      <c r="E301">
        <v>83.802816901408448</v>
      </c>
      <c r="F301">
        <v>83.333333333333343</v>
      </c>
      <c r="G301">
        <v>81.666666666666671</v>
      </c>
      <c r="H301">
        <v>91.304347826086953</v>
      </c>
      <c r="I301">
        <v>100</v>
      </c>
      <c r="J301">
        <v>79.166666666666657</v>
      </c>
      <c r="K301">
        <v>89.622641509433961</v>
      </c>
      <c r="L301">
        <v>71.428571428571431</v>
      </c>
      <c r="M301">
        <v>81.578947368421055</v>
      </c>
      <c r="N301">
        <v>89.772727272727266</v>
      </c>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100</v>
      </c>
      <c r="D302">
        <v>55.555555555555557</v>
      </c>
      <c r="E302">
        <v>82.089552238805979</v>
      </c>
      <c r="F302">
        <v>0</v>
      </c>
      <c r="G302">
        <v>72</v>
      </c>
      <c r="H302">
        <v>87.951807228915655</v>
      </c>
      <c r="I302">
        <v>100</v>
      </c>
      <c r="J302">
        <v>81.818181818181827</v>
      </c>
      <c r="K302">
        <v>86.111111111111114</v>
      </c>
      <c r="L302">
        <v>16.666666666666664</v>
      </c>
      <c r="M302">
        <v>79.545454545454547</v>
      </c>
      <c r="N302">
        <v>87.341772151898738</v>
      </c>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100</v>
      </c>
      <c r="D303">
        <v>93.84615384615384</v>
      </c>
      <c r="E303">
        <v>92.513368983957221</v>
      </c>
      <c r="F303">
        <v>90.909090909090907</v>
      </c>
      <c r="G303">
        <v>65.671641791044777</v>
      </c>
      <c r="H303">
        <v>81.746031746031747</v>
      </c>
      <c r="I303">
        <v>66.666666666666657</v>
      </c>
      <c r="J303">
        <v>73.68421052631578</v>
      </c>
      <c r="K303">
        <v>79.850746268656707</v>
      </c>
      <c r="L303">
        <v>100</v>
      </c>
      <c r="M303">
        <v>61.111111111111114</v>
      </c>
      <c r="N303">
        <v>81.777777777777786</v>
      </c>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6" activePane="bottomRight" state="frozen"/>
      <selection activeCell="N70" sqref="N70"/>
      <selection pane="topRight" activeCell="N70" sqref="N70"/>
      <selection pane="bottomLeft" activeCell="N70" sqref="N70"/>
      <selection pane="bottomRight" activeCell="C2" sqref="C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SD0</v>
      </c>
      <c r="B3" s="22" t="str">
        <f>J3&amp;(COUNTIF(J$2:J3,J3))</f>
        <v>Derbyshire1</v>
      </c>
      <c r="C3" t="s">
        <v>7</v>
      </c>
      <c r="D3" t="s">
        <v>7</v>
      </c>
      <c r="E3" s="25" t="s">
        <v>366</v>
      </c>
      <c r="F3" s="25" t="s">
        <v>379</v>
      </c>
      <c r="G3" s="25" t="s">
        <v>5</v>
      </c>
      <c r="H3" s="26" t="s">
        <v>382</v>
      </c>
      <c r="I3" s="27" t="s">
        <v>382</v>
      </c>
      <c r="J3" t="s">
        <v>307</v>
      </c>
    </row>
    <row r="4" spans="1:13" ht="14.4">
      <c r="A4" s="22" t="str">
        <f>F4&amp;(COUNTIFS(F$2:F4,F4,K$2:K4,"Sparse"))</f>
        <v>SD0</v>
      </c>
      <c r="B4" s="22" t="str">
        <f>J4&amp;(COUNTIF(J$2:J4,J4))</f>
        <v>West Sussex2</v>
      </c>
      <c r="C4" t="s">
        <v>8</v>
      </c>
      <c r="D4" t="s">
        <v>8</v>
      </c>
      <c r="E4" s="25" t="s">
        <v>0</v>
      </c>
      <c r="F4" s="25" t="s">
        <v>379</v>
      </c>
      <c r="G4" s="25" t="s">
        <v>5</v>
      </c>
      <c r="H4" s="26" t="s">
        <v>382</v>
      </c>
      <c r="I4" s="27" t="s">
        <v>382</v>
      </c>
      <c r="J4" t="s">
        <v>331</v>
      </c>
    </row>
    <row r="5" spans="1:13" ht="14.4">
      <c r="A5" s="22" t="str">
        <f>F5&amp;(COUNTIFS(F$2:F5,F5,K$2:K5,"Sparse"))</f>
        <v>SD0</v>
      </c>
      <c r="B5" s="22" t="str">
        <f>J5&amp;(COUNTIF(J$2:J5,J5))</f>
        <v>Nottinghamshire1</v>
      </c>
      <c r="C5" t="s">
        <v>9</v>
      </c>
      <c r="D5" t="s">
        <v>9</v>
      </c>
      <c r="E5" s="25" t="s">
        <v>366</v>
      </c>
      <c r="F5" s="25" t="s">
        <v>379</v>
      </c>
      <c r="G5" s="25" t="s">
        <v>5</v>
      </c>
      <c r="H5" s="26" t="s">
        <v>382</v>
      </c>
      <c r="I5" s="27" t="s">
        <v>382</v>
      </c>
      <c r="J5" t="s">
        <v>323</v>
      </c>
    </row>
    <row r="6" spans="1:13" ht="14.4">
      <c r="A6" s="22" t="str">
        <f>F6&amp;(COUNTIFS(F$2:F6,F6,K$2:K6,"Sparse"))</f>
        <v>SD0</v>
      </c>
      <c r="B6" s="22" t="str">
        <f>J6&amp;(COUNTIF(J$2:J6,J6))</f>
        <v>Kent1</v>
      </c>
      <c r="C6" t="s">
        <v>10</v>
      </c>
      <c r="D6" t="s">
        <v>10</v>
      </c>
      <c r="E6" s="25" t="s">
        <v>0</v>
      </c>
      <c r="F6" s="25" t="s">
        <v>379</v>
      </c>
      <c r="G6" s="25" t="s">
        <v>5</v>
      </c>
      <c r="H6" s="26" t="s">
        <v>892</v>
      </c>
      <c r="I6" s="27" t="s">
        <v>892</v>
      </c>
      <c r="J6" t="s">
        <v>315</v>
      </c>
    </row>
    <row r="7" spans="1:13" ht="14.4">
      <c r="A7" s="22" t="str">
        <f>F7&amp;(COUNTIFS(F$2:F7,F7,K$2:K7,"Sparse"))</f>
        <v>SD1</v>
      </c>
      <c r="B7" s="22" t="str">
        <f>J7&amp;(COUNTIF(J$2:J7,J7))</f>
        <v>Suffolk1</v>
      </c>
      <c r="C7" t="s">
        <v>12</v>
      </c>
      <c r="D7" t="s">
        <v>12</v>
      </c>
      <c r="E7" s="25" t="s">
        <v>368</v>
      </c>
      <c r="F7" s="25" t="s">
        <v>379</v>
      </c>
      <c r="G7" s="25" t="s">
        <v>5</v>
      </c>
      <c r="H7" s="26" t="s">
        <v>891</v>
      </c>
      <c r="I7" s="27" t="s">
        <v>380</v>
      </c>
      <c r="J7" t="s">
        <v>328</v>
      </c>
      <c r="K7" t="s">
        <v>335</v>
      </c>
    </row>
    <row r="8" spans="1:13" ht="14.4">
      <c r="A8" s="22" t="str">
        <f>F8&amp;(COUNTIFS(F$2:F8,F8,K$2:K8,"Sparse"))</f>
        <v>L0</v>
      </c>
      <c r="B8" s="22" t="str">
        <f>J8&amp;(COUNTIF(J$2:J8,J8))</f>
        <v>London1</v>
      </c>
      <c r="C8" t="s">
        <v>338</v>
      </c>
      <c r="D8" t="s">
        <v>338</v>
      </c>
      <c r="E8" s="25" t="s">
        <v>381</v>
      </c>
      <c r="F8" s="25" t="s">
        <v>358</v>
      </c>
      <c r="G8" s="25" t="s">
        <v>381</v>
      </c>
      <c r="H8" s="26" t="s">
        <v>382</v>
      </c>
      <c r="I8" s="27" t="s">
        <v>382</v>
      </c>
      <c r="J8" t="s">
        <v>381</v>
      </c>
    </row>
    <row r="9" spans="1:13" ht="14.4">
      <c r="A9" s="22" t="str">
        <f>F9&amp;(COUNTIFS(F$2:F9,F9,K$2:K9,"Sparse"))</f>
        <v>L0</v>
      </c>
      <c r="B9" s="22" t="str">
        <f>J9&amp;(COUNTIF(J$2:J9,J9))</f>
        <v>London2</v>
      </c>
      <c r="C9" t="s">
        <v>196</v>
      </c>
      <c r="D9" t="s">
        <v>196</v>
      </c>
      <c r="E9" s="25" t="s">
        <v>381</v>
      </c>
      <c r="F9" s="25" t="s">
        <v>358</v>
      </c>
      <c r="G9" s="25" t="s">
        <v>381</v>
      </c>
      <c r="H9" s="26" t="s">
        <v>382</v>
      </c>
      <c r="I9" s="27" t="s">
        <v>382</v>
      </c>
      <c r="J9" t="s">
        <v>381</v>
      </c>
    </row>
    <row r="10" spans="1:13" ht="14.4">
      <c r="A10" s="22" t="str">
        <f>F10&amp;(COUNTIFS(F$2:F10,F10,K$2:K10,"Sparse"))</f>
        <v>MD0</v>
      </c>
      <c r="B10" s="22" t="str">
        <f>J10&amp;(COUNTIF(J$2:J10,J10))</f>
        <v>Barnsley1</v>
      </c>
      <c r="C10" t="s">
        <v>222</v>
      </c>
      <c r="D10" t="s">
        <v>222</v>
      </c>
      <c r="E10" s="25" t="s">
        <v>383</v>
      </c>
      <c r="F10" s="25" t="s">
        <v>384</v>
      </c>
      <c r="G10" s="25" t="s">
        <v>395</v>
      </c>
      <c r="H10" s="26" t="s">
        <v>382</v>
      </c>
      <c r="I10" s="27" t="s">
        <v>382</v>
      </c>
      <c r="J10" t="s">
        <v>222</v>
      </c>
    </row>
    <row r="11" spans="1:13" ht="14.4">
      <c r="A11" s="22" t="str">
        <f>F11&amp;(COUNTIFS(F$2:F11,F11,K$2:K11,"Sparse"))</f>
        <v>SD1</v>
      </c>
      <c r="B11" s="22" t="str">
        <f>J11&amp;(COUNTIF(J$2:J11,J11))</f>
        <v>Essex1</v>
      </c>
      <c r="C11" t="s">
        <v>14</v>
      </c>
      <c r="D11" t="s">
        <v>14</v>
      </c>
      <c r="E11" s="25" t="s">
        <v>368</v>
      </c>
      <c r="F11" s="25" t="s">
        <v>379</v>
      </c>
      <c r="G11" s="25" t="s">
        <v>5</v>
      </c>
      <c r="H11" s="26" t="s">
        <v>382</v>
      </c>
      <c r="I11" s="27" t="s">
        <v>382</v>
      </c>
      <c r="J11" t="s">
        <v>311</v>
      </c>
    </row>
    <row r="12" spans="1:13" ht="14.4">
      <c r="A12" s="22" t="str">
        <f>F12&amp;(COUNTIFS(F$2:F12,F12,K$2:K12,"Sparse"))</f>
        <v>SD1</v>
      </c>
      <c r="B12" s="22" t="str">
        <f>J12&amp;(COUNTIF(J$2:J12,J12))</f>
        <v>Hampshire1</v>
      </c>
      <c r="C12" t="s">
        <v>342</v>
      </c>
      <c r="D12" t="s">
        <v>342</v>
      </c>
      <c r="E12" s="25" t="s">
        <v>0</v>
      </c>
      <c r="F12" s="25" t="s">
        <v>379</v>
      </c>
      <c r="G12" s="25" t="s">
        <v>5</v>
      </c>
      <c r="H12" s="26" t="s">
        <v>892</v>
      </c>
      <c r="I12" s="27" t="s">
        <v>892</v>
      </c>
      <c r="J12" t="s">
        <v>313</v>
      </c>
    </row>
    <row r="13" spans="1:13" ht="14.4">
      <c r="A13" s="22" t="str">
        <f>F13&amp;(COUNTIFS(F$2:F13,F13,K$2:K13,"Sparse"))</f>
        <v>SD1</v>
      </c>
      <c r="B13" s="22" t="str">
        <f>J13&amp;(COUNTIF(J$2:J13,J13))</f>
        <v>Nottinghamshire2</v>
      </c>
      <c r="C13" t="s">
        <v>15</v>
      </c>
      <c r="D13" t="s">
        <v>15</v>
      </c>
      <c r="E13" s="25" t="s">
        <v>366</v>
      </c>
      <c r="F13" s="25" t="s">
        <v>379</v>
      </c>
      <c r="G13" s="25" t="s">
        <v>5</v>
      </c>
      <c r="H13" s="26" t="s">
        <v>891</v>
      </c>
      <c r="I13" s="27" t="s">
        <v>380</v>
      </c>
      <c r="J13" t="s">
        <v>323</v>
      </c>
    </row>
    <row r="14" spans="1:13" ht="14.4">
      <c r="A14" s="22" t="str">
        <f>F14&amp;(COUNTIFS(F$2:F14,F14,K$2:K14,"Sparse"))</f>
        <v>UA0</v>
      </c>
      <c r="B14" s="22" t="str">
        <f>J14&amp;(COUNTIF(J$2:J14,J14))</f>
        <v>Unitary1</v>
      </c>
      <c r="C14" t="s">
        <v>258</v>
      </c>
      <c r="D14" t="s">
        <v>258</v>
      </c>
      <c r="E14" s="25" t="s">
        <v>1</v>
      </c>
      <c r="F14" s="25" t="s">
        <v>385</v>
      </c>
      <c r="G14" s="25" t="s">
        <v>394</v>
      </c>
      <c r="H14" s="26" t="s">
        <v>892</v>
      </c>
      <c r="I14" s="27" t="s">
        <v>892</v>
      </c>
      <c r="J14" s="3" t="s">
        <v>394</v>
      </c>
    </row>
    <row r="15" spans="1:13" ht="14.4">
      <c r="A15" s="22" t="str">
        <f>F15&amp;(COUNTIFS(F$2:F15,F15,K$2:K15,"Sparse"))</f>
        <v>UA0</v>
      </c>
      <c r="B15" s="22" t="str">
        <f>J15&amp;(COUNTIF(J$2:J15,J15))</f>
        <v>Unitary2</v>
      </c>
      <c r="C15" t="s">
        <v>259</v>
      </c>
      <c r="D15" t="s">
        <v>259</v>
      </c>
      <c r="E15" s="25" t="s">
        <v>368</v>
      </c>
      <c r="F15" s="25" t="s">
        <v>385</v>
      </c>
      <c r="G15" s="25" t="s">
        <v>394</v>
      </c>
      <c r="H15" s="26" t="s">
        <v>892</v>
      </c>
      <c r="I15" s="27" t="s">
        <v>892</v>
      </c>
      <c r="J15" s="3" t="s">
        <v>394</v>
      </c>
    </row>
    <row r="16" spans="1:13" ht="14.4">
      <c r="A16" s="22" t="str">
        <f>F16&amp;(COUNTIFS(F$2:F16,F16,K$2:K16,"Sparse"))</f>
        <v>L0</v>
      </c>
      <c r="B16" s="22" t="str">
        <f>J16&amp;(COUNTIF(J$2:J16,J16))</f>
        <v>London3</v>
      </c>
      <c r="C16" t="s">
        <v>197</v>
      </c>
      <c r="D16" t="s">
        <v>197</v>
      </c>
      <c r="E16" s="25" t="s">
        <v>381</v>
      </c>
      <c r="F16" s="25" t="s">
        <v>358</v>
      </c>
      <c r="G16" s="25" t="s">
        <v>381</v>
      </c>
      <c r="H16" s="26" t="s">
        <v>382</v>
      </c>
      <c r="I16" s="27" t="s">
        <v>382</v>
      </c>
      <c r="J16" t="s">
        <v>381</v>
      </c>
    </row>
    <row r="17" spans="1:11" ht="14.4">
      <c r="A17" s="22" t="str">
        <f>F17&amp;(COUNTIFS(F$2:F17,F17,K$2:K17,"Sparse"))</f>
        <v>MD0</v>
      </c>
      <c r="B17" s="22" t="str">
        <f>J17&amp;(COUNTIF(J$2:J17,J17))</f>
        <v>Birmingham1</v>
      </c>
      <c r="C17" t="s">
        <v>223</v>
      </c>
      <c r="D17" t="s">
        <v>223</v>
      </c>
      <c r="E17" s="25" t="s">
        <v>367</v>
      </c>
      <c r="F17" s="25" t="s">
        <v>384</v>
      </c>
      <c r="G17" s="25" t="s">
        <v>395</v>
      </c>
      <c r="H17" s="26" t="s">
        <v>382</v>
      </c>
      <c r="I17" s="27" t="s">
        <v>382</v>
      </c>
      <c r="J17" t="s">
        <v>223</v>
      </c>
    </row>
    <row r="18" spans="1:11" ht="14.4">
      <c r="A18" s="22" t="str">
        <f>F18&amp;(COUNTIFS(F$2:F18,F18,K$2:K18,"Sparse"))</f>
        <v>SD1</v>
      </c>
      <c r="B18" s="22" t="str">
        <f>J18&amp;(COUNTIF(J$2:J18,J18))</f>
        <v>Leicestershire1</v>
      </c>
      <c r="C18" t="s">
        <v>16</v>
      </c>
      <c r="D18" t="s">
        <v>16</v>
      </c>
      <c r="E18" s="25" t="s">
        <v>366</v>
      </c>
      <c r="F18" s="25" t="s">
        <v>379</v>
      </c>
      <c r="G18" s="25" t="s">
        <v>5</v>
      </c>
      <c r="H18" s="26" t="s">
        <v>382</v>
      </c>
      <c r="I18" s="27" t="s">
        <v>382</v>
      </c>
      <c r="J18" t="s">
        <v>317</v>
      </c>
    </row>
    <row r="19" spans="1:11" ht="14.4">
      <c r="A19" s="22" t="str">
        <f>F19&amp;(COUNTIFS(F$2:F19,F19,K$2:K19,"Sparse"))</f>
        <v>UA0</v>
      </c>
      <c r="B19" s="22" t="str">
        <f>J19&amp;(COUNTIF(J$2:J19,J19))</f>
        <v>Unitary3</v>
      </c>
      <c r="C19" t="s">
        <v>260</v>
      </c>
      <c r="D19" t="s">
        <v>260</v>
      </c>
      <c r="E19" s="25" t="s">
        <v>374</v>
      </c>
      <c r="F19" s="25" t="s">
        <v>385</v>
      </c>
      <c r="G19" s="25" t="s">
        <v>394</v>
      </c>
      <c r="H19" s="26" t="s">
        <v>382</v>
      </c>
      <c r="I19" s="27" t="s">
        <v>382</v>
      </c>
      <c r="J19" s="3" t="s">
        <v>394</v>
      </c>
    </row>
    <row r="20" spans="1:11" ht="14.4">
      <c r="A20" s="22" t="str">
        <f>F20&amp;(COUNTIFS(F$2:F20,F20,K$2:K20,"Sparse"))</f>
        <v>UA0</v>
      </c>
      <c r="B20" s="22" t="str">
        <f>J20&amp;(COUNTIF(J$2:J20,J20))</f>
        <v>Unitary4</v>
      </c>
      <c r="C20" t="s">
        <v>261</v>
      </c>
      <c r="D20" t="s">
        <v>261</v>
      </c>
      <c r="E20" s="25" t="s">
        <v>374</v>
      </c>
      <c r="F20" s="25" t="s">
        <v>385</v>
      </c>
      <c r="G20" s="25" t="s">
        <v>394</v>
      </c>
      <c r="H20" s="26" t="s">
        <v>382</v>
      </c>
      <c r="I20" s="27" t="s">
        <v>382</v>
      </c>
      <c r="J20" s="3" t="s">
        <v>394</v>
      </c>
    </row>
    <row r="21" spans="1:11" ht="14.4">
      <c r="A21" s="22" t="str">
        <f>F21&amp;(COUNTIFS(F$2:F21,F21,K$2:K21,"Sparse"))</f>
        <v>SD1</v>
      </c>
      <c r="B21" s="22" t="str">
        <f>J21&amp;(COUNTIF(J$2:J21,J21))</f>
        <v>Derbyshire2</v>
      </c>
      <c r="C21" t="s">
        <v>17</v>
      </c>
      <c r="D21" t="s">
        <v>17</v>
      </c>
      <c r="E21" s="25" t="s">
        <v>366</v>
      </c>
      <c r="F21" s="25" t="s">
        <v>379</v>
      </c>
      <c r="G21" s="25" t="s">
        <v>5</v>
      </c>
      <c r="H21" s="26" t="s">
        <v>892</v>
      </c>
      <c r="I21" s="27" t="s">
        <v>892</v>
      </c>
      <c r="J21" t="s">
        <v>307</v>
      </c>
    </row>
    <row r="22" spans="1:11" ht="14.4">
      <c r="A22" s="22" t="str">
        <f>F22&amp;(COUNTIFS(F$2:F22,F22,K$2:K22,"Sparse"))</f>
        <v>MD0</v>
      </c>
      <c r="B22" s="22" t="str">
        <f>J22&amp;(COUNTIF(J$2:J22,J22))</f>
        <v>Bolton1</v>
      </c>
      <c r="C22" t="s">
        <v>224</v>
      </c>
      <c r="D22" t="s">
        <v>224</v>
      </c>
      <c r="E22" s="25" t="s">
        <v>374</v>
      </c>
      <c r="F22" s="25" t="s">
        <v>384</v>
      </c>
      <c r="G22" s="25" t="s">
        <v>395</v>
      </c>
      <c r="H22" s="26" t="s">
        <v>382</v>
      </c>
      <c r="I22" s="27" t="s">
        <v>382</v>
      </c>
      <c r="J22" t="s">
        <v>224</v>
      </c>
    </row>
    <row r="23" spans="1:11" ht="14.4">
      <c r="A23" s="22" t="str">
        <f>F23&amp;(COUNTIFS(F$2:F23,F23,K$2:K23,"Sparse"))</f>
        <v>SD2</v>
      </c>
      <c r="B23" s="22" t="str">
        <f>J23&amp;(COUNTIF(J$2:J23,J23))</f>
        <v>Lincolnshire1</v>
      </c>
      <c r="C23" t="s">
        <v>18</v>
      </c>
      <c r="D23" t="s">
        <v>18</v>
      </c>
      <c r="E23" s="25" t="s">
        <v>366</v>
      </c>
      <c r="F23" s="25" t="s">
        <v>379</v>
      </c>
      <c r="G23" s="25" t="s">
        <v>5</v>
      </c>
      <c r="H23" s="26" t="s">
        <v>892</v>
      </c>
      <c r="I23" s="27" t="s">
        <v>892</v>
      </c>
      <c r="J23" t="s">
        <v>318</v>
      </c>
      <c r="K23" t="s">
        <v>335</v>
      </c>
    </row>
    <row r="24" spans="1:11" ht="14.4">
      <c r="A24" s="22" t="str">
        <f>F24&amp;(COUNTIFS(F$2:F24,F24,K$2:K24,"Sparse"))</f>
        <v>UA0</v>
      </c>
      <c r="B24" s="22" t="str">
        <f>J24&amp;(COUNTIF(J$2:J24,J24))</f>
        <v>Unitary5</v>
      </c>
      <c r="C24" t="s">
        <v>896</v>
      </c>
      <c r="D24" t="s">
        <v>896</v>
      </c>
      <c r="E24" s="25" t="s">
        <v>1</v>
      </c>
      <c r="F24" s="25" t="s">
        <v>385</v>
      </c>
      <c r="G24" s="25" t="s">
        <v>394</v>
      </c>
      <c r="H24" s="26" t="s">
        <v>382</v>
      </c>
      <c r="I24" s="27" t="s">
        <v>382</v>
      </c>
      <c r="J24" s="3" t="s">
        <v>394</v>
      </c>
    </row>
    <row r="25" spans="1:11" ht="14.4">
      <c r="A25" s="22" t="str">
        <f>F25&amp;(COUNTIFS(F$2:F25,F25,K$2:K25,"Sparse"))</f>
        <v>UA0</v>
      </c>
      <c r="B25" s="22" t="str">
        <f>J25&amp;(COUNTIF(J$2:J25,J25))</f>
        <v>Unitary6</v>
      </c>
      <c r="C25" t="s">
        <v>263</v>
      </c>
      <c r="D25" t="s">
        <v>263</v>
      </c>
      <c r="E25" s="25" t="s">
        <v>0</v>
      </c>
      <c r="F25" s="25" t="s">
        <v>385</v>
      </c>
      <c r="G25" s="25" t="s">
        <v>394</v>
      </c>
      <c r="H25" s="26" t="s">
        <v>382</v>
      </c>
      <c r="I25" s="27" t="s">
        <v>382</v>
      </c>
      <c r="J25" s="3" t="s">
        <v>394</v>
      </c>
    </row>
    <row r="26" spans="1:11" ht="14.4">
      <c r="A26" s="22" t="str">
        <f>F26&amp;(COUNTIFS(F$2:F26,F26,K$2:K26,"Sparse"))</f>
        <v>MD0</v>
      </c>
      <c r="B26" s="22" t="str">
        <f>J26&amp;(COUNTIF(J$2:J26,J26))</f>
        <v>Bradford1</v>
      </c>
      <c r="C26" t="s">
        <v>225</v>
      </c>
      <c r="D26" t="s">
        <v>225</v>
      </c>
      <c r="E26" s="25" t="s">
        <v>383</v>
      </c>
      <c r="F26" s="25" t="s">
        <v>384</v>
      </c>
      <c r="G26" s="25" t="s">
        <v>395</v>
      </c>
      <c r="H26" s="26" t="s">
        <v>382</v>
      </c>
      <c r="I26" s="27" t="s">
        <v>382</v>
      </c>
      <c r="J26" t="s">
        <v>225</v>
      </c>
    </row>
    <row r="27" spans="1:11" ht="14.4">
      <c r="A27" s="22" t="str">
        <f>F27&amp;(COUNTIFS(F$2:F27,F27,K$2:K27,"Sparse"))</f>
        <v>SD3</v>
      </c>
      <c r="B27" s="22" t="str">
        <f>J27&amp;(COUNTIF(J$2:J27,J27))</f>
        <v>Essex2</v>
      </c>
      <c r="C27" t="s">
        <v>19</v>
      </c>
      <c r="D27" t="s">
        <v>19</v>
      </c>
      <c r="E27" s="25" t="s">
        <v>368</v>
      </c>
      <c r="F27" s="25" t="s">
        <v>379</v>
      </c>
      <c r="G27" s="25" t="s">
        <v>5</v>
      </c>
      <c r="H27" s="26" t="s">
        <v>891</v>
      </c>
      <c r="I27" s="27" t="s">
        <v>380</v>
      </c>
      <c r="J27" t="s">
        <v>311</v>
      </c>
      <c r="K27" t="s">
        <v>335</v>
      </c>
    </row>
    <row r="28" spans="1:11" ht="14.4">
      <c r="A28" s="22" t="str">
        <f>F28&amp;(COUNTIFS(F$2:F28,F28,K$2:K28,"Sparse"))</f>
        <v>SD3</v>
      </c>
      <c r="B28" s="22" t="str">
        <f>J28&amp;(COUNTIF(J$2:J28,J28))</f>
        <v>Norfolk1</v>
      </c>
      <c r="C28" t="s">
        <v>20</v>
      </c>
      <c r="D28" t="s">
        <v>20</v>
      </c>
      <c r="E28" s="25" t="s">
        <v>368</v>
      </c>
      <c r="F28" s="25" t="s">
        <v>379</v>
      </c>
      <c r="G28" s="25" t="s">
        <v>5</v>
      </c>
      <c r="H28" s="26" t="s">
        <v>891</v>
      </c>
      <c r="I28" s="27" t="s">
        <v>380</v>
      </c>
      <c r="J28" t="s">
        <v>319</v>
      </c>
    </row>
    <row r="29" spans="1:11" ht="14.4">
      <c r="A29" s="22" t="str">
        <f>F29&amp;(COUNTIFS(F$2:F29,F29,K$2:K29,"Sparse"))</f>
        <v>L0</v>
      </c>
      <c r="B29" s="22" t="str">
        <f>J29&amp;(COUNTIF(J$2:J29,J29))</f>
        <v>London4</v>
      </c>
      <c r="C29" t="s">
        <v>198</v>
      </c>
      <c r="D29" t="s">
        <v>198</v>
      </c>
      <c r="E29" s="25" t="s">
        <v>381</v>
      </c>
      <c r="F29" s="25" t="s">
        <v>358</v>
      </c>
      <c r="G29" s="25" t="s">
        <v>381</v>
      </c>
      <c r="H29" s="26" t="s">
        <v>382</v>
      </c>
      <c r="I29" s="27" t="s">
        <v>382</v>
      </c>
      <c r="J29" t="s">
        <v>381</v>
      </c>
    </row>
    <row r="30" spans="1:11" ht="14.4">
      <c r="A30" s="22" t="str">
        <f>F30&amp;(COUNTIFS(F$2:F30,F30,K$2:K30,"Sparse"))</f>
        <v>SD3</v>
      </c>
      <c r="B30" s="22" t="str">
        <f>J30&amp;(COUNTIF(J$2:J30,J30))</f>
        <v>Essex3</v>
      </c>
      <c r="C30" t="s">
        <v>21</v>
      </c>
      <c r="D30" t="s">
        <v>21</v>
      </c>
      <c r="E30" s="25" t="s">
        <v>368</v>
      </c>
      <c r="F30" s="25" t="s">
        <v>379</v>
      </c>
      <c r="G30" s="25" t="s">
        <v>5</v>
      </c>
      <c r="H30" s="26" t="s">
        <v>892</v>
      </c>
      <c r="I30" s="27" t="s">
        <v>892</v>
      </c>
      <c r="J30" t="s">
        <v>311</v>
      </c>
    </row>
    <row r="31" spans="1:11" ht="14.4">
      <c r="A31" s="22" t="str">
        <f>F31&amp;(COUNTIFS(F$2:F31,F31,K$2:K31,"Sparse"))</f>
        <v>UA0</v>
      </c>
      <c r="B31" s="22" t="str">
        <f>J31&amp;(COUNTIF(J$2:J31,J31))</f>
        <v>Unitary7</v>
      </c>
      <c r="C31" t="s">
        <v>812</v>
      </c>
      <c r="D31" t="s">
        <v>812</v>
      </c>
      <c r="E31" s="25" t="s">
        <v>0</v>
      </c>
      <c r="F31" s="25" t="s">
        <v>385</v>
      </c>
      <c r="G31" s="25" t="s">
        <v>394</v>
      </c>
      <c r="H31" s="26" t="s">
        <v>382</v>
      </c>
      <c r="I31" s="27" t="s">
        <v>382</v>
      </c>
      <c r="J31" s="3" t="s">
        <v>394</v>
      </c>
    </row>
    <row r="32" spans="1:11" ht="14.4">
      <c r="A32" s="22" t="str">
        <f>F32&amp;(COUNTIFS(F$2:F32,F32,K$2:K32,"Sparse"))</f>
        <v>UA0</v>
      </c>
      <c r="B32" s="22" t="str">
        <f>J32&amp;(COUNTIF(J$2:J32,J32))</f>
        <v>Unitary8</v>
      </c>
      <c r="C32" t="s">
        <v>816</v>
      </c>
      <c r="D32" t="s">
        <v>386</v>
      </c>
      <c r="E32" s="25" t="s">
        <v>1</v>
      </c>
      <c r="F32" s="25" t="s">
        <v>385</v>
      </c>
      <c r="G32" s="25" t="s">
        <v>394</v>
      </c>
      <c r="H32" s="26" t="s">
        <v>382</v>
      </c>
      <c r="I32" s="27" t="s">
        <v>382</v>
      </c>
      <c r="J32" s="3" t="s">
        <v>394</v>
      </c>
    </row>
    <row r="33" spans="1:10" ht="14.4">
      <c r="A33" s="22" t="str">
        <f>F33&amp;(COUNTIFS(F$2:F33,F33,K$2:K33,"Sparse"))</f>
        <v>SD3</v>
      </c>
      <c r="B33" s="22" t="str">
        <f>J33&amp;(COUNTIF(J$2:J33,J33))</f>
        <v>Norfolk2</v>
      </c>
      <c r="C33" t="s">
        <v>22</v>
      </c>
      <c r="D33" t="s">
        <v>22</v>
      </c>
      <c r="E33" s="25" t="s">
        <v>368</v>
      </c>
      <c r="F33" s="25" t="s">
        <v>379</v>
      </c>
      <c r="G33" s="25" t="s">
        <v>5</v>
      </c>
      <c r="H33" s="26" t="s">
        <v>892</v>
      </c>
      <c r="I33" s="27" t="s">
        <v>892</v>
      </c>
      <c r="J33" t="s">
        <v>319</v>
      </c>
    </row>
    <row r="34" spans="1:10" ht="14.4">
      <c r="A34" s="22" t="str">
        <f>F34&amp;(COUNTIFS(F$2:F34,F34,K$2:K34,"Sparse"))</f>
        <v>L0</v>
      </c>
      <c r="B34" s="22" t="str">
        <f>J34&amp;(COUNTIF(J$2:J34,J34))</f>
        <v>London5</v>
      </c>
      <c r="C34" t="s">
        <v>199</v>
      </c>
      <c r="D34" t="s">
        <v>199</v>
      </c>
      <c r="E34" s="25" t="s">
        <v>381</v>
      </c>
      <c r="F34" s="25" t="s">
        <v>358</v>
      </c>
      <c r="G34" s="25" t="s">
        <v>381</v>
      </c>
      <c r="H34" s="26" t="s">
        <v>382</v>
      </c>
      <c r="I34" s="27" t="s">
        <v>382</v>
      </c>
      <c r="J34" t="s">
        <v>381</v>
      </c>
    </row>
    <row r="35" spans="1:10" ht="14.4">
      <c r="A35" s="22" t="str">
        <f>F35&amp;(COUNTIFS(F$2:F35,F35,K$2:K35,"Sparse"))</f>
        <v>SD3</v>
      </c>
      <c r="B35" s="22" t="str">
        <f>J35&amp;(COUNTIF(J$2:J35,J35))</f>
        <v>Worcestershire1</v>
      </c>
      <c r="C35" t="s">
        <v>23</v>
      </c>
      <c r="D35" t="s">
        <v>23</v>
      </c>
      <c r="E35" s="25" t="s">
        <v>367</v>
      </c>
      <c r="F35" s="25" t="s">
        <v>379</v>
      </c>
      <c r="G35" s="25" t="s">
        <v>5</v>
      </c>
      <c r="H35" s="26" t="s">
        <v>382</v>
      </c>
      <c r="I35" s="27" t="s">
        <v>382</v>
      </c>
      <c r="J35" t="s">
        <v>332</v>
      </c>
    </row>
    <row r="36" spans="1:10" ht="14.4">
      <c r="A36" s="22" t="str">
        <f>F36&amp;(COUNTIFS(F$2:F36,F36,K$2:K36,"Sparse"))</f>
        <v>SD3</v>
      </c>
      <c r="B36" s="22" t="str">
        <f>J36&amp;(COUNTIF(J$2:J36,J36))</f>
        <v>Hertfordshire1</v>
      </c>
      <c r="C36" t="s">
        <v>24</v>
      </c>
      <c r="D36" t="s">
        <v>24</v>
      </c>
      <c r="E36" s="25" t="s">
        <v>368</v>
      </c>
      <c r="F36" s="25" t="s">
        <v>379</v>
      </c>
      <c r="G36" s="25" t="s">
        <v>5</v>
      </c>
      <c r="H36" s="26" t="s">
        <v>382</v>
      </c>
      <c r="I36" s="27" t="s">
        <v>382</v>
      </c>
      <c r="J36" t="s">
        <v>314</v>
      </c>
    </row>
    <row r="37" spans="1:10" ht="14.4">
      <c r="A37" s="22" t="str">
        <f>F37&amp;(COUNTIFS(F$2:F37,F37,K$2:K37,"Sparse"))</f>
        <v>SD3</v>
      </c>
      <c r="B37" s="22" t="str">
        <f>J37&amp;(COUNTIF(J$2:J37,J37))</f>
        <v>Nottinghamshire3</v>
      </c>
      <c r="C37" t="s">
        <v>25</v>
      </c>
      <c r="D37" t="s">
        <v>25</v>
      </c>
      <c r="E37" s="25" t="s">
        <v>366</v>
      </c>
      <c r="F37" s="25" t="s">
        <v>379</v>
      </c>
      <c r="G37" s="25" t="s">
        <v>5</v>
      </c>
      <c r="H37" s="26" t="s">
        <v>382</v>
      </c>
      <c r="I37" s="27" t="s">
        <v>382</v>
      </c>
      <c r="J37" t="s">
        <v>323</v>
      </c>
    </row>
    <row r="38" spans="1:10" ht="14.4">
      <c r="A38" s="22" t="str">
        <f>F38&amp;(COUNTIFS(F$2:F38,F38,K$2:K38,"Sparse"))</f>
        <v>UA0</v>
      </c>
      <c r="B38" s="22" t="str">
        <f>J38&amp;(COUNTIF(J$2:J38,J38))</f>
        <v>Unitary9</v>
      </c>
      <c r="C38" t="s">
        <v>300</v>
      </c>
      <c r="D38" t="s">
        <v>300</v>
      </c>
      <c r="E38" s="25" t="s">
        <v>0</v>
      </c>
      <c r="F38" s="25" t="s">
        <v>385</v>
      </c>
      <c r="G38" s="25" t="s">
        <v>394</v>
      </c>
      <c r="H38" s="27" t="s">
        <v>892</v>
      </c>
      <c r="I38" s="27" t="s">
        <v>892</v>
      </c>
      <c r="J38" s="3" t="s">
        <v>394</v>
      </c>
    </row>
    <row r="39" spans="1:10" ht="14.4">
      <c r="A39" s="22" t="str">
        <f>F39&amp;(COUNTIFS(F$2:F39,F39,K$2:K39,"Sparse"))</f>
        <v>SD3</v>
      </c>
      <c r="B39" s="22" t="str">
        <f>J39&amp;(COUNTIF(J$2:J39,J39))</f>
        <v>Lancashire1</v>
      </c>
      <c r="C39" t="s">
        <v>26</v>
      </c>
      <c r="D39" t="s">
        <v>26</v>
      </c>
      <c r="E39" s="25" t="s">
        <v>374</v>
      </c>
      <c r="F39" s="25" t="s">
        <v>379</v>
      </c>
      <c r="G39" s="25" t="s">
        <v>5</v>
      </c>
      <c r="H39" s="26" t="s">
        <v>382</v>
      </c>
      <c r="I39" s="27" t="s">
        <v>382</v>
      </c>
      <c r="J39" t="s">
        <v>316</v>
      </c>
    </row>
    <row r="40" spans="1:10" ht="14.4">
      <c r="A40" s="22" t="str">
        <f>F40&amp;(COUNTIFS(F$2:F40,F40,K$2:K40,"Sparse"))</f>
        <v>MD0</v>
      </c>
      <c r="B40" s="22" t="str">
        <f>J40&amp;(COUNTIF(J$2:J40,J40))</f>
        <v>Bury1</v>
      </c>
      <c r="C40" t="s">
        <v>226</v>
      </c>
      <c r="D40" t="s">
        <v>226</v>
      </c>
      <c r="E40" s="25" t="s">
        <v>374</v>
      </c>
      <c r="F40" s="25" t="s">
        <v>384</v>
      </c>
      <c r="G40" s="25" t="s">
        <v>395</v>
      </c>
      <c r="H40" s="26" t="s">
        <v>382</v>
      </c>
      <c r="I40" s="27" t="s">
        <v>382</v>
      </c>
      <c r="J40" t="s">
        <v>226</v>
      </c>
    </row>
    <row r="41" spans="1:10" ht="14.4">
      <c r="A41" s="22" t="str">
        <f>F41&amp;(COUNTIFS(F$2:F41,F41,K$2:K41,"Sparse"))</f>
        <v>MD0</v>
      </c>
      <c r="B41" s="22" t="str">
        <f>J41&amp;(COUNTIF(J$2:J41,J41))</f>
        <v>Calderdale1</v>
      </c>
      <c r="C41" t="s">
        <v>227</v>
      </c>
      <c r="D41" t="s">
        <v>227</v>
      </c>
      <c r="E41" s="25" t="s">
        <v>383</v>
      </c>
      <c r="F41" s="25" t="s">
        <v>384</v>
      </c>
      <c r="G41" s="25" t="s">
        <v>395</v>
      </c>
      <c r="H41" s="26" t="s">
        <v>382</v>
      </c>
      <c r="I41" s="27" t="s">
        <v>382</v>
      </c>
      <c r="J41" t="s">
        <v>227</v>
      </c>
    </row>
    <row r="42" spans="1:10" ht="14.4">
      <c r="A42" s="22" t="str">
        <f>F42&amp;(COUNTIFS(F$2:F42,F42,K$2:K42,"Sparse"))</f>
        <v>SD3</v>
      </c>
      <c r="B42" s="22" t="str">
        <f>J42&amp;(COUNTIF(J$2:J42,J42))</f>
        <v>Cambridgeshire1</v>
      </c>
      <c r="C42" t="s">
        <v>27</v>
      </c>
      <c r="D42" t="s">
        <v>27</v>
      </c>
      <c r="E42" s="25" t="s">
        <v>368</v>
      </c>
      <c r="F42" s="25" t="s">
        <v>379</v>
      </c>
      <c r="G42" s="25" t="s">
        <v>5</v>
      </c>
      <c r="H42" s="26" t="s">
        <v>382</v>
      </c>
      <c r="I42" s="27" t="s">
        <v>382</v>
      </c>
      <c r="J42" t="s">
        <v>302</v>
      </c>
    </row>
    <row r="43" spans="1:10" ht="14.4">
      <c r="A43" s="22" t="str">
        <f>F43&amp;(COUNTIFS(F$2:F43,F43,K$2:K43,"Sparse"))</f>
        <v>SC0</v>
      </c>
      <c r="B43" s="22" t="str">
        <f>J43&amp;(COUNTIF(J$2:J43,J43))</f>
        <v>Cambridgeshire2</v>
      </c>
      <c r="C43" t="s">
        <v>302</v>
      </c>
      <c r="D43" t="s">
        <v>302</v>
      </c>
      <c r="E43" s="25" t="s">
        <v>368</v>
      </c>
      <c r="F43" s="25" t="s">
        <v>387</v>
      </c>
      <c r="G43" s="25" t="s">
        <v>301</v>
      </c>
      <c r="H43" s="27" t="s">
        <v>380</v>
      </c>
      <c r="I43" s="27" t="s">
        <v>380</v>
      </c>
      <c r="J43" t="s">
        <v>302</v>
      </c>
    </row>
    <row r="44" spans="1:10" ht="14.4">
      <c r="A44" s="22" t="str">
        <f>F44&amp;(COUNTIFS(F$2:F44,F44,K$2:K44,"Sparse"))</f>
        <v>L0</v>
      </c>
      <c r="B44" s="22" t="str">
        <f>J44&amp;(COUNTIF(J$2:J44,J44))</f>
        <v>London6</v>
      </c>
      <c r="C44" t="s">
        <v>200</v>
      </c>
      <c r="D44" t="s">
        <v>200</v>
      </c>
      <c r="E44" s="25" t="s">
        <v>381</v>
      </c>
      <c r="F44" s="25" t="s">
        <v>358</v>
      </c>
      <c r="G44" s="25" t="s">
        <v>381</v>
      </c>
      <c r="H44" s="26" t="s">
        <v>382</v>
      </c>
      <c r="I44" s="27" t="s">
        <v>382</v>
      </c>
      <c r="J44" t="s">
        <v>381</v>
      </c>
    </row>
    <row r="45" spans="1:10" ht="14.4">
      <c r="A45" s="22" t="str">
        <f>F45&amp;(COUNTIFS(F$2:F45,F45,K$2:K45,"Sparse"))</f>
        <v>SD3</v>
      </c>
      <c r="B45" s="22" t="str">
        <f>J45&amp;(COUNTIF(J$2:J45,J45))</f>
        <v>Staffordshire1</v>
      </c>
      <c r="C45" t="s">
        <v>28</v>
      </c>
      <c r="D45" t="s">
        <v>28</v>
      </c>
      <c r="E45" s="25" t="s">
        <v>367</v>
      </c>
      <c r="F45" s="25" t="s">
        <v>379</v>
      </c>
      <c r="G45" s="25" t="s">
        <v>5</v>
      </c>
      <c r="H45" s="26" t="s">
        <v>892</v>
      </c>
      <c r="I45" s="27" t="s">
        <v>892</v>
      </c>
      <c r="J45" t="s">
        <v>327</v>
      </c>
    </row>
    <row r="46" spans="1:10" ht="14.4">
      <c r="A46" s="22" t="str">
        <f>F46&amp;(COUNTIFS(F$2:F46,F46,K$2:K46,"Sparse"))</f>
        <v>SD3</v>
      </c>
      <c r="B46" s="22" t="str">
        <f>J46&amp;(COUNTIF(J$2:J46,J46))</f>
        <v>Kent2</v>
      </c>
      <c r="C46" t="s">
        <v>29</v>
      </c>
      <c r="D46" t="s">
        <v>29</v>
      </c>
      <c r="E46" s="25" t="s">
        <v>0</v>
      </c>
      <c r="F46" s="25" t="s">
        <v>379</v>
      </c>
      <c r="G46" s="25" t="s">
        <v>5</v>
      </c>
      <c r="H46" s="26" t="s">
        <v>382</v>
      </c>
      <c r="I46" s="27" t="s">
        <v>382</v>
      </c>
      <c r="J46" t="s">
        <v>315</v>
      </c>
    </row>
    <row r="47" spans="1:10" ht="14.4">
      <c r="A47" s="22" t="str">
        <f>F47&amp;(COUNTIFS(F$2:F47,F47,K$2:K47,"Sparse"))</f>
        <v>SD3</v>
      </c>
      <c r="B47" s="22" t="str">
        <f>J47&amp;(COUNTIF(J$2:J47,J47))</f>
        <v>Essex4</v>
      </c>
      <c r="C47" t="s">
        <v>31</v>
      </c>
      <c r="D47" t="s">
        <v>31</v>
      </c>
      <c r="E47" s="25" t="s">
        <v>368</v>
      </c>
      <c r="F47" s="25" t="s">
        <v>379</v>
      </c>
      <c r="G47" s="25" t="s">
        <v>5</v>
      </c>
      <c r="H47" s="26" t="s">
        <v>382</v>
      </c>
      <c r="I47" s="27" t="s">
        <v>382</v>
      </c>
      <c r="J47" t="s">
        <v>311</v>
      </c>
    </row>
    <row r="48" spans="1:10" ht="14.4">
      <c r="A48" s="22" t="str">
        <f>F48&amp;(COUNTIFS(F$2:F48,F48,K$2:K48,"Sparse"))</f>
        <v>UA0</v>
      </c>
      <c r="B48" s="22" t="str">
        <f>J48&amp;(COUNTIF(J$2:J48,J48))</f>
        <v>Unitary10</v>
      </c>
      <c r="C48" t="s">
        <v>303</v>
      </c>
      <c r="D48" t="s">
        <v>303</v>
      </c>
      <c r="E48" s="25" t="s">
        <v>368</v>
      </c>
      <c r="F48" s="25" t="s">
        <v>385</v>
      </c>
      <c r="G48" s="25" t="s">
        <v>394</v>
      </c>
      <c r="H48" s="26" t="s">
        <v>891</v>
      </c>
      <c r="I48" s="27" t="s">
        <v>380</v>
      </c>
      <c r="J48" s="3" t="s">
        <v>394</v>
      </c>
    </row>
    <row r="49" spans="1:11" ht="14.4">
      <c r="A49" s="22" t="str">
        <f>F49&amp;(COUNTIFS(F$2:F49,F49,K$2:K49,"Sparse"))</f>
        <v>SD3</v>
      </c>
      <c r="B49" s="22" t="str">
        <f>J49&amp;(COUNTIF(J$2:J49,J49))</f>
        <v>Leicestershire2</v>
      </c>
      <c r="C49" t="s">
        <v>32</v>
      </c>
      <c r="D49" t="s">
        <v>32</v>
      </c>
      <c r="E49" s="25" t="s">
        <v>366</v>
      </c>
      <c r="F49" s="25" t="s">
        <v>379</v>
      </c>
      <c r="G49" s="25" t="s">
        <v>5</v>
      </c>
      <c r="H49" s="26" t="s">
        <v>382</v>
      </c>
      <c r="I49" s="27" t="s">
        <v>382</v>
      </c>
      <c r="J49" t="s">
        <v>317</v>
      </c>
    </row>
    <row r="50" spans="1:11" ht="14.4">
      <c r="A50" s="22" t="str">
        <f>F50&amp;(COUNTIFS(F$2:F50,F50,K$2:K50,"Sparse"))</f>
        <v>SD3</v>
      </c>
      <c r="B50" s="22" t="str">
        <f>J50&amp;(COUNTIF(J$2:J50,J50))</f>
        <v>Essex5</v>
      </c>
      <c r="C50" t="s">
        <v>33</v>
      </c>
      <c r="D50" t="s">
        <v>33</v>
      </c>
      <c r="E50" s="25" t="s">
        <v>368</v>
      </c>
      <c r="F50" s="25" t="s">
        <v>379</v>
      </c>
      <c r="G50" s="25" t="s">
        <v>5</v>
      </c>
      <c r="H50" s="26" t="s">
        <v>382</v>
      </c>
      <c r="I50" s="27" t="s">
        <v>382</v>
      </c>
      <c r="J50" t="s">
        <v>311</v>
      </c>
    </row>
    <row r="51" spans="1:11" ht="14.4">
      <c r="A51" s="22" t="str">
        <f>F51&amp;(COUNTIFS(F$2:F51,F51,K$2:K51,"Sparse"))</f>
        <v>SD3</v>
      </c>
      <c r="B51" s="22" t="str">
        <f>J51&amp;(COUNTIF(J$2:J51,J51))</f>
        <v>Gloucestershire1</v>
      </c>
      <c r="C51" t="s">
        <v>34</v>
      </c>
      <c r="D51" t="s">
        <v>34</v>
      </c>
      <c r="E51" s="25" t="s">
        <v>1</v>
      </c>
      <c r="F51" s="25" t="s">
        <v>379</v>
      </c>
      <c r="G51" s="25" t="s">
        <v>5</v>
      </c>
      <c r="H51" s="26" t="s">
        <v>382</v>
      </c>
      <c r="I51" s="27" t="s">
        <v>382</v>
      </c>
      <c r="J51" t="s">
        <v>312</v>
      </c>
    </row>
    <row r="52" spans="1:11" ht="14.4">
      <c r="A52" s="22" t="str">
        <f>F52&amp;(COUNTIFS(F$2:F52,F52,K$2:K52,"Sparse"))</f>
        <v>SD3</v>
      </c>
      <c r="B52" s="22" t="str">
        <f>J52&amp;(COUNTIF(J$2:J52,J52))</f>
        <v>Oxfordshire1</v>
      </c>
      <c r="C52" t="s">
        <v>35</v>
      </c>
      <c r="D52" t="s">
        <v>35</v>
      </c>
      <c r="E52" s="25" t="s">
        <v>0</v>
      </c>
      <c r="F52" s="25" t="s">
        <v>379</v>
      </c>
      <c r="G52" s="25" t="s">
        <v>5</v>
      </c>
      <c r="H52" s="26" t="s">
        <v>892</v>
      </c>
      <c r="I52" s="27" t="s">
        <v>892</v>
      </c>
      <c r="J52" t="s">
        <v>324</v>
      </c>
    </row>
    <row r="53" spans="1:11" ht="14.4">
      <c r="A53" s="22" t="str">
        <f>F53&amp;(COUNTIFS(F$2:F53,F53,K$2:K53,"Sparse"))</f>
        <v>UA1</v>
      </c>
      <c r="B53" s="22" t="str">
        <f>J53&amp;(COUNTIF(J$2:J53,J53))</f>
        <v>Unitary11</v>
      </c>
      <c r="C53" t="s">
        <v>304</v>
      </c>
      <c r="D53" t="s">
        <v>304</v>
      </c>
      <c r="E53" s="25" t="s">
        <v>374</v>
      </c>
      <c r="F53" s="25" t="s">
        <v>385</v>
      </c>
      <c r="G53" s="25" t="s">
        <v>394</v>
      </c>
      <c r="H53" s="26" t="s">
        <v>892</v>
      </c>
      <c r="I53" s="27" t="s">
        <v>892</v>
      </c>
      <c r="J53" s="3" t="s">
        <v>394</v>
      </c>
      <c r="K53" t="s">
        <v>335</v>
      </c>
    </row>
    <row r="54" spans="1:11" ht="14.4">
      <c r="A54" s="22" t="str">
        <f>F54&amp;(COUNTIFS(F$2:F54,F54,K$2:K54,"Sparse"))</f>
        <v>UA1</v>
      </c>
      <c r="B54" s="22" t="str">
        <f>J54&amp;(COUNTIF(J$2:J54,J54))</f>
        <v>Unitary12</v>
      </c>
      <c r="C54" t="s">
        <v>813</v>
      </c>
      <c r="D54" t="s">
        <v>813</v>
      </c>
      <c r="E54" s="25" t="s">
        <v>374</v>
      </c>
      <c r="F54" s="25" t="s">
        <v>385</v>
      </c>
      <c r="G54" s="25" t="s">
        <v>394</v>
      </c>
      <c r="H54" s="26" t="s">
        <v>892</v>
      </c>
      <c r="I54" s="27" t="s">
        <v>892</v>
      </c>
      <c r="J54" s="3" t="s">
        <v>394</v>
      </c>
    </row>
    <row r="55" spans="1:11" ht="14.4">
      <c r="A55" s="22" t="str">
        <f>F55&amp;(COUNTIFS(F$2:F55,F55,K$2:K55,"Sparse"))</f>
        <v>SD3</v>
      </c>
      <c r="B55" s="22" t="str">
        <f>J55&amp;(COUNTIF(J$2:J55,J55))</f>
        <v>Derbyshire3</v>
      </c>
      <c r="C55" t="s">
        <v>36</v>
      </c>
      <c r="D55" t="s">
        <v>36</v>
      </c>
      <c r="E55" s="25" t="s">
        <v>366</v>
      </c>
      <c r="F55" s="25" t="s">
        <v>379</v>
      </c>
      <c r="G55" s="25" t="s">
        <v>5</v>
      </c>
      <c r="H55" s="26" t="s">
        <v>382</v>
      </c>
      <c r="I55" s="27" t="s">
        <v>382</v>
      </c>
      <c r="J55" t="s">
        <v>307</v>
      </c>
    </row>
    <row r="56" spans="1:11" ht="14.4">
      <c r="A56" s="22" t="str">
        <f>F56&amp;(COUNTIFS(F$2:F56,F56,K$2:K56,"Sparse"))</f>
        <v>SD4</v>
      </c>
      <c r="B56" s="22" t="str">
        <f>J56&amp;(COUNTIF(J$2:J56,J56))</f>
        <v>West Sussex3</v>
      </c>
      <c r="C56" t="s">
        <v>37</v>
      </c>
      <c r="D56" t="s">
        <v>37</v>
      </c>
      <c r="E56" s="25" t="s">
        <v>0</v>
      </c>
      <c r="F56" s="25" t="s">
        <v>379</v>
      </c>
      <c r="G56" s="25" t="s">
        <v>5</v>
      </c>
      <c r="H56" s="26" t="s">
        <v>891</v>
      </c>
      <c r="I56" s="27" t="s">
        <v>380</v>
      </c>
      <c r="J56" t="s">
        <v>331</v>
      </c>
      <c r="K56" t="s">
        <v>335</v>
      </c>
    </row>
    <row r="57" spans="1:11" ht="14.4">
      <c r="A57" s="22" t="str">
        <f>F57&amp;(COUNTIFS(F$2:F57,F57,K$2:K57,"Sparse"))</f>
        <v>SD4</v>
      </c>
      <c r="B57" s="22" t="str">
        <f>J57&amp;(COUNTIF(J$2:J57,J57))</f>
        <v>Lancashire2</v>
      </c>
      <c r="C57" t="s">
        <v>39</v>
      </c>
      <c r="D57" t="s">
        <v>39</v>
      </c>
      <c r="E57" s="25" t="s">
        <v>374</v>
      </c>
      <c r="F57" s="25" t="s">
        <v>379</v>
      </c>
      <c r="G57" s="25" t="s">
        <v>5</v>
      </c>
      <c r="H57" s="26" t="s">
        <v>892</v>
      </c>
      <c r="I57" s="27" t="s">
        <v>892</v>
      </c>
      <c r="J57" t="s">
        <v>316</v>
      </c>
    </row>
    <row r="58" spans="1:11" ht="14.4">
      <c r="A58" s="22" t="str">
        <f>F58&amp;(COUNTIFS(F$2:F58,F58,K$2:K58,"Sparse"))</f>
        <v>L0</v>
      </c>
      <c r="B58" s="22" t="str">
        <f>J58&amp;(COUNTIF(J$2:J58,J58))</f>
        <v>London7</v>
      </c>
      <c r="C58" t="s">
        <v>369</v>
      </c>
      <c r="D58" t="s">
        <v>369</v>
      </c>
      <c r="E58" s="25" t="s">
        <v>381</v>
      </c>
      <c r="F58" s="25" t="s">
        <v>358</v>
      </c>
      <c r="G58" s="25" t="s">
        <v>381</v>
      </c>
      <c r="H58" s="28" t="s">
        <v>382</v>
      </c>
      <c r="I58" s="27" t="s">
        <v>382</v>
      </c>
      <c r="J58" t="s">
        <v>381</v>
      </c>
    </row>
    <row r="59" spans="1:11" ht="14.4">
      <c r="A59" s="22" t="str">
        <f>F59&amp;(COUNTIFS(F$2:F59,F59,K$2:K59,"Sparse"))</f>
        <v>SD4</v>
      </c>
      <c r="B59" s="22" t="str">
        <f>J59&amp;(COUNTIF(J$2:J59,J59))</f>
        <v>Essex6</v>
      </c>
      <c r="C59" t="s">
        <v>41</v>
      </c>
      <c r="D59" t="s">
        <v>41</v>
      </c>
      <c r="E59" s="25" t="s">
        <v>368</v>
      </c>
      <c r="F59" s="25" t="s">
        <v>379</v>
      </c>
      <c r="G59" s="25" t="s">
        <v>5</v>
      </c>
      <c r="H59" s="26" t="s">
        <v>892</v>
      </c>
      <c r="I59" s="27" t="s">
        <v>892</v>
      </c>
      <c r="J59" t="s">
        <v>311</v>
      </c>
    </row>
    <row r="60" spans="1:11" ht="14.4">
      <c r="A60" s="22" t="str">
        <f>F60&amp;(COUNTIFS(F$2:F60,F60,K$2:K60,"Sparse"))</f>
        <v>UA2</v>
      </c>
      <c r="B60" s="22" t="str">
        <f>J60&amp;(COUNTIF(J$2:J60,J60))</f>
        <v>Unitary13</v>
      </c>
      <c r="C60" t="s">
        <v>305</v>
      </c>
      <c r="D60" t="s">
        <v>305</v>
      </c>
      <c r="E60" s="25" t="s">
        <v>1</v>
      </c>
      <c r="F60" s="25" t="s">
        <v>385</v>
      </c>
      <c r="G60" s="25" t="s">
        <v>394</v>
      </c>
      <c r="H60" s="26" t="s">
        <v>891</v>
      </c>
      <c r="I60" s="27" t="s">
        <v>380</v>
      </c>
      <c r="J60" t="s">
        <v>394</v>
      </c>
      <c r="K60" t="s">
        <v>335</v>
      </c>
    </row>
    <row r="61" spans="1:11" ht="14.4">
      <c r="A61" s="22" t="str">
        <f>F61&amp;(COUNTIFS(F$2:F61,F61,K$2:K61,"Sparse"))</f>
        <v>SD5</v>
      </c>
      <c r="B61" s="22" t="str">
        <f>J61&amp;(COUNTIF(J$2:J61,J61))</f>
        <v>Gloucestershire2</v>
      </c>
      <c r="C61" t="s">
        <v>44</v>
      </c>
      <c r="D61" t="s">
        <v>44</v>
      </c>
      <c r="E61" s="25" t="s">
        <v>1</v>
      </c>
      <c r="F61" s="25" t="s">
        <v>379</v>
      </c>
      <c r="G61" s="25" t="s">
        <v>5</v>
      </c>
      <c r="H61" s="26" t="s">
        <v>891</v>
      </c>
      <c r="I61" s="27" t="s">
        <v>380</v>
      </c>
      <c r="J61" s="3" t="s">
        <v>312</v>
      </c>
      <c r="K61" t="s">
        <v>335</v>
      </c>
    </row>
    <row r="62" spans="1:11" ht="14.4">
      <c r="A62" s="22" t="str">
        <f>F62&amp;(COUNTIFS(F$2:F62,F62,K$2:K62,"Sparse"))</f>
        <v>MD0</v>
      </c>
      <c r="B62" s="22" t="str">
        <f>J62&amp;(COUNTIF(J$2:J62,J62))</f>
        <v>Coventry1</v>
      </c>
      <c r="C62" t="s">
        <v>228</v>
      </c>
      <c r="D62" t="s">
        <v>228</v>
      </c>
      <c r="E62" s="25" t="s">
        <v>367</v>
      </c>
      <c r="F62" s="25" t="s">
        <v>384</v>
      </c>
      <c r="G62" s="25" t="s">
        <v>395</v>
      </c>
      <c r="H62" s="26" t="s">
        <v>382</v>
      </c>
      <c r="I62" s="27" t="s">
        <v>382</v>
      </c>
      <c r="J62" t="s">
        <v>228</v>
      </c>
    </row>
    <row r="63" spans="1:11" ht="14.4">
      <c r="A63" s="22" t="str">
        <f>F63&amp;(COUNTIFS(F$2:F63,F63,K$2:K63,"Sparse"))</f>
        <v>SD5</v>
      </c>
      <c r="B63" s="22" t="str">
        <f>J63&amp;(COUNTIF(J$2:J63,J63))</f>
        <v>West Sussex4</v>
      </c>
      <c r="C63" t="s">
        <v>46</v>
      </c>
      <c r="D63" t="s">
        <v>46</v>
      </c>
      <c r="E63" s="25" t="s">
        <v>0</v>
      </c>
      <c r="F63" s="25" t="s">
        <v>379</v>
      </c>
      <c r="G63" s="25" t="s">
        <v>5</v>
      </c>
      <c r="H63" s="26" t="s">
        <v>382</v>
      </c>
      <c r="I63" s="27" t="s">
        <v>382</v>
      </c>
      <c r="J63" t="s">
        <v>331</v>
      </c>
    </row>
    <row r="64" spans="1:11" ht="14.4">
      <c r="A64" s="22" t="str">
        <f>F64&amp;(COUNTIFS(F$2:F64,F64,K$2:K64,"Sparse"))</f>
        <v>L0</v>
      </c>
      <c r="B64" s="22" t="str">
        <f>J64&amp;(COUNTIF(J$2:J64,J64))</f>
        <v>London8</v>
      </c>
      <c r="C64" t="s">
        <v>201</v>
      </c>
      <c r="D64" t="s">
        <v>201</v>
      </c>
      <c r="E64" s="25" t="s">
        <v>381</v>
      </c>
      <c r="F64" s="25" t="s">
        <v>358</v>
      </c>
      <c r="G64" s="25" t="s">
        <v>381</v>
      </c>
      <c r="H64" s="26" t="s">
        <v>382</v>
      </c>
      <c r="I64" s="27" t="s">
        <v>382</v>
      </c>
      <c r="J64" t="s">
        <v>381</v>
      </c>
    </row>
    <row r="65" spans="1:11" ht="14.4">
      <c r="A65" s="22" t="str">
        <f>F65&amp;(COUNTIFS(F$2:F65,F65,K$2:K65,"Sparse"))</f>
        <v>UA3</v>
      </c>
      <c r="B65" s="22" t="str">
        <f>J65&amp;(COUNTIF(J$2:J65,J65))</f>
        <v>Unitary14</v>
      </c>
      <c r="C65" t="s">
        <v>899</v>
      </c>
      <c r="D65" t="s">
        <v>899</v>
      </c>
      <c r="E65" s="25" t="s">
        <v>374</v>
      </c>
      <c r="F65" s="25" t="s">
        <v>385</v>
      </c>
      <c r="G65" s="25" t="s">
        <v>394</v>
      </c>
      <c r="H65" s="26" t="s">
        <v>891</v>
      </c>
      <c r="I65" s="27" t="s">
        <v>380</v>
      </c>
      <c r="J65" s="3" t="s">
        <v>394</v>
      </c>
      <c r="K65" s="3" t="s">
        <v>335</v>
      </c>
    </row>
    <row r="66" spans="1:11" ht="14.4">
      <c r="A66" s="22" t="str">
        <f>F66&amp;(COUNTIFS(F$2:F66,F66,K$2:K66,"Sparse"))</f>
        <v>SD5</v>
      </c>
      <c r="B66" s="22" t="str">
        <f>J66&amp;(COUNTIF(J$2:J66,J66))</f>
        <v>Hertfordshire2</v>
      </c>
      <c r="C66" t="s">
        <v>47</v>
      </c>
      <c r="D66" t="s">
        <v>47</v>
      </c>
      <c r="E66" s="25" t="s">
        <v>368</v>
      </c>
      <c r="F66" s="25" t="s">
        <v>379</v>
      </c>
      <c r="G66" s="25" t="s">
        <v>5</v>
      </c>
      <c r="H66" s="27" t="s">
        <v>892</v>
      </c>
      <c r="I66" s="27" t="s">
        <v>892</v>
      </c>
      <c r="J66" t="s">
        <v>314</v>
      </c>
    </row>
    <row r="67" spans="1:11" ht="14.4">
      <c r="A67" s="22" t="str">
        <f>F67&amp;(COUNTIFS(F$2:F67,F67,K$2:K67,"Sparse"))</f>
        <v>UA3</v>
      </c>
      <c r="B67" s="22" t="str">
        <f>J67&amp;(COUNTIF(J$2:J67,J67))</f>
        <v>Unitary15</v>
      </c>
      <c r="C67" t="s">
        <v>264</v>
      </c>
      <c r="D67" t="s">
        <v>264</v>
      </c>
      <c r="E67" s="25" t="s">
        <v>388</v>
      </c>
      <c r="F67" s="25" t="s">
        <v>385</v>
      </c>
      <c r="G67" s="25" t="s">
        <v>394</v>
      </c>
      <c r="H67" s="26" t="s">
        <v>382</v>
      </c>
      <c r="I67" s="27" t="s">
        <v>382</v>
      </c>
      <c r="J67" t="s">
        <v>394</v>
      </c>
    </row>
    <row r="68" spans="1:11" ht="14.4">
      <c r="A68" s="22" t="str">
        <f>F68&amp;(COUNTIFS(F$2:F68,F68,K$2:K68,"Sparse"))</f>
        <v>SD5</v>
      </c>
      <c r="B68" s="22" t="str">
        <f>J68&amp;(COUNTIF(J$2:J68,J68))</f>
        <v>Kent3</v>
      </c>
      <c r="C68" t="s">
        <v>48</v>
      </c>
      <c r="D68" t="s">
        <v>48</v>
      </c>
      <c r="E68" s="25" t="s">
        <v>0</v>
      </c>
      <c r="F68" s="25" t="s">
        <v>379</v>
      </c>
      <c r="G68" s="25" t="s">
        <v>5</v>
      </c>
      <c r="H68" s="26" t="s">
        <v>382</v>
      </c>
      <c r="I68" s="27" t="s">
        <v>382</v>
      </c>
      <c r="J68" s="3" t="s">
        <v>315</v>
      </c>
    </row>
    <row r="69" spans="1:11" ht="14.4">
      <c r="A69" s="22" t="str">
        <f>F69&amp;(COUNTIFS(F$2:F69,F69,K$2:K69,"Sparse"))</f>
        <v>UA3</v>
      </c>
      <c r="B69" s="22" t="str">
        <f>J69&amp;(COUNTIF(J$2:J69,J69))</f>
        <v>Unitary16</v>
      </c>
      <c r="C69" t="s">
        <v>265</v>
      </c>
      <c r="D69" t="s">
        <v>265</v>
      </c>
      <c r="E69" s="25" t="s">
        <v>366</v>
      </c>
      <c r="F69" s="25" t="s">
        <v>385</v>
      </c>
      <c r="G69" s="25" t="s">
        <v>394</v>
      </c>
      <c r="H69" s="26" t="s">
        <v>382</v>
      </c>
      <c r="I69" s="27" t="s">
        <v>382</v>
      </c>
      <c r="J69" t="s">
        <v>394</v>
      </c>
    </row>
    <row r="70" spans="1:11" ht="14.4">
      <c r="A70" s="22" t="str">
        <f>F70&amp;(COUNTIFS(F$2:F70,F70,K$2:K70,"Sparse"))</f>
        <v>SC0</v>
      </c>
      <c r="B70" s="22" t="str">
        <f>J70&amp;(COUNTIF(J$2:J70,J70))</f>
        <v>Derbyshire4</v>
      </c>
      <c r="C70" t="s">
        <v>307</v>
      </c>
      <c r="D70" t="s">
        <v>307</v>
      </c>
      <c r="E70" s="25" t="s">
        <v>366</v>
      </c>
      <c r="F70" s="25" t="s">
        <v>387</v>
      </c>
      <c r="G70" s="25" t="s">
        <v>301</v>
      </c>
      <c r="H70" s="26" t="s">
        <v>892</v>
      </c>
      <c r="I70" s="27" t="s">
        <v>892</v>
      </c>
      <c r="J70" t="s">
        <v>307</v>
      </c>
    </row>
    <row r="71" spans="1:11" ht="14.4">
      <c r="A71" s="22" t="str">
        <f>F71&amp;(COUNTIFS(F$2:F71,F71,K$2:K71,"Sparse"))</f>
        <v>SD6</v>
      </c>
      <c r="B71" s="22" t="str">
        <f>J71&amp;(COUNTIF(J$2:J71,J71))</f>
        <v>Derbyshire5</v>
      </c>
      <c r="C71" t="s">
        <v>50</v>
      </c>
      <c r="D71" t="s">
        <v>50</v>
      </c>
      <c r="E71" s="25" t="s">
        <v>366</v>
      </c>
      <c r="F71" s="25" t="s">
        <v>379</v>
      </c>
      <c r="G71" s="25" t="s">
        <v>5</v>
      </c>
      <c r="H71" s="26" t="s">
        <v>891</v>
      </c>
      <c r="I71" s="27" t="s">
        <v>380</v>
      </c>
      <c r="J71" s="3" t="s">
        <v>307</v>
      </c>
      <c r="K71" t="s">
        <v>335</v>
      </c>
    </row>
    <row r="72" spans="1:11" ht="14.4">
      <c r="A72" s="22" t="str">
        <f>F72&amp;(COUNTIFS(F$2:F72,F72,K$2:K72,"Sparse"))</f>
        <v>SC1</v>
      </c>
      <c r="B72" s="22" t="str">
        <f>J72&amp;(COUNTIF(J$2:J72,J72))</f>
        <v>Devon1</v>
      </c>
      <c r="C72" t="s">
        <v>308</v>
      </c>
      <c r="D72" t="s">
        <v>308</v>
      </c>
      <c r="E72" s="25" t="s">
        <v>1</v>
      </c>
      <c r="F72" s="25" t="s">
        <v>387</v>
      </c>
      <c r="G72" s="25" t="s">
        <v>301</v>
      </c>
      <c r="H72" s="27" t="s">
        <v>380</v>
      </c>
      <c r="I72" s="27" t="s">
        <v>380</v>
      </c>
      <c r="J72" t="s">
        <v>308</v>
      </c>
      <c r="K72" t="s">
        <v>335</v>
      </c>
    </row>
    <row r="73" spans="1:11" ht="14.4">
      <c r="A73" s="22" t="str">
        <f>F73&amp;(COUNTIFS(F$2:F73,F73,K$2:K73,"Sparse"))</f>
        <v>MD0</v>
      </c>
      <c r="B73" s="22" t="str">
        <f>J73&amp;(COUNTIF(J$2:J73,J73))</f>
        <v>Doncaster1</v>
      </c>
      <c r="C73" t="s">
        <v>229</v>
      </c>
      <c r="D73" t="s">
        <v>229</v>
      </c>
      <c r="E73" s="25" t="s">
        <v>383</v>
      </c>
      <c r="F73" s="25" t="s">
        <v>384</v>
      </c>
      <c r="G73" s="25" t="s">
        <v>395</v>
      </c>
      <c r="H73" s="26" t="s">
        <v>382</v>
      </c>
      <c r="I73" s="27" t="s">
        <v>382</v>
      </c>
      <c r="J73" t="s">
        <v>229</v>
      </c>
    </row>
    <row r="74" spans="1:11" ht="14.4">
      <c r="A74" s="22" t="str">
        <f>F74&amp;(COUNTIFS(F$2:F74,F74,K$2:K74,"Sparse"))</f>
        <v>UA3</v>
      </c>
      <c r="B74" s="22" t="str">
        <f>J74&amp;(COUNTIF(J$2:J74,J74))</f>
        <v>Unitary17</v>
      </c>
      <c r="C74" t="s">
        <v>309</v>
      </c>
      <c r="D74" t="s">
        <v>309</v>
      </c>
      <c r="E74" s="25" t="s">
        <v>1</v>
      </c>
      <c r="F74" s="25" t="s">
        <v>385</v>
      </c>
      <c r="G74" s="25" t="s">
        <v>394</v>
      </c>
      <c r="H74" s="27" t="s">
        <v>380</v>
      </c>
      <c r="I74" s="27" t="s">
        <v>380</v>
      </c>
      <c r="J74" t="s">
        <v>394</v>
      </c>
    </row>
    <row r="75" spans="1:11" ht="14.4">
      <c r="A75" s="22" t="str">
        <f>F75&amp;(COUNTIFS(F$2:F75,F75,K$2:K75,"Sparse"))</f>
        <v>SD6</v>
      </c>
      <c r="B75" s="22" t="str">
        <f>J75&amp;(COUNTIF(J$2:J75,J75))</f>
        <v>Kent4</v>
      </c>
      <c r="C75" t="s">
        <v>51</v>
      </c>
      <c r="D75" t="s">
        <v>51</v>
      </c>
      <c r="E75" s="25" t="s">
        <v>0</v>
      </c>
      <c r="F75" s="25" t="s">
        <v>379</v>
      </c>
      <c r="G75" s="25" t="s">
        <v>5</v>
      </c>
      <c r="H75" s="26" t="s">
        <v>892</v>
      </c>
      <c r="I75" s="27" t="s">
        <v>892</v>
      </c>
      <c r="J75" t="s">
        <v>315</v>
      </c>
    </row>
    <row r="76" spans="1:11" ht="14.4">
      <c r="A76" s="22" t="str">
        <f>F76&amp;(COUNTIFS(F$2:F76,F76,K$2:K76,"Sparse"))</f>
        <v>MD0</v>
      </c>
      <c r="B76" s="22" t="str">
        <f>J76&amp;(COUNTIF(J$2:J76,J76))</f>
        <v>Dudley1</v>
      </c>
      <c r="C76" t="s">
        <v>230</v>
      </c>
      <c r="D76" t="s">
        <v>230</v>
      </c>
      <c r="E76" s="25" t="s">
        <v>367</v>
      </c>
      <c r="F76" s="3" t="s">
        <v>384</v>
      </c>
      <c r="G76" s="3" t="s">
        <v>395</v>
      </c>
      <c r="H76" s="27" t="s">
        <v>382</v>
      </c>
      <c r="I76" s="27" t="s">
        <v>382</v>
      </c>
      <c r="J76" t="s">
        <v>230</v>
      </c>
    </row>
    <row r="77" spans="1:11" ht="14.4">
      <c r="A77" s="22" t="str">
        <f>F77&amp;(COUNTIFS(F$2:F77,F77,K$2:K77,"Sparse"))</f>
        <v>UA4</v>
      </c>
      <c r="B77" s="22" t="str">
        <f>J77&amp;(COUNTIF(J$2:J77,J77))</f>
        <v>Unitary18</v>
      </c>
      <c r="C77" t="s">
        <v>266</v>
      </c>
      <c r="D77" t="s">
        <v>266</v>
      </c>
      <c r="E77" s="25" t="s">
        <v>388</v>
      </c>
      <c r="F77" s="25" t="s">
        <v>385</v>
      </c>
      <c r="G77" s="25" t="s">
        <v>394</v>
      </c>
      <c r="H77" s="26" t="s">
        <v>891</v>
      </c>
      <c r="I77" s="27" t="s">
        <v>380</v>
      </c>
      <c r="J77" t="s">
        <v>394</v>
      </c>
      <c r="K77" t="s">
        <v>335</v>
      </c>
    </row>
    <row r="78" spans="1:11" ht="14.4">
      <c r="A78" s="22" t="str">
        <f>F78&amp;(COUNTIFS(F$2:F78,F78,K$2:K78,"Sparse"))</f>
        <v>L0</v>
      </c>
      <c r="B78" s="22" t="str">
        <f>J78&amp;(COUNTIF(J$2:J78,J78))</f>
        <v>London9</v>
      </c>
      <c r="C78" t="s">
        <v>202</v>
      </c>
      <c r="D78" t="s">
        <v>202</v>
      </c>
      <c r="E78" s="25" t="s">
        <v>381</v>
      </c>
      <c r="F78" s="25" t="s">
        <v>358</v>
      </c>
      <c r="G78" s="25" t="s">
        <v>381</v>
      </c>
      <c r="H78" s="26" t="s">
        <v>382</v>
      </c>
      <c r="I78" s="27" t="s">
        <v>382</v>
      </c>
      <c r="J78" s="3" t="s">
        <v>381</v>
      </c>
    </row>
    <row r="79" spans="1:11" ht="14.4">
      <c r="A79" s="22" t="str">
        <f>F79&amp;(COUNTIFS(F$2:F79,F79,K$2:K79,"Sparse"))</f>
        <v>SD7</v>
      </c>
      <c r="B79" s="22" t="str">
        <f>J79&amp;(COUNTIF(J$2:J79,J79))</f>
        <v>Cambridgeshire3</v>
      </c>
      <c r="C79" t="s">
        <v>52</v>
      </c>
      <c r="D79" t="s">
        <v>52</v>
      </c>
      <c r="E79" s="25" t="s">
        <v>368</v>
      </c>
      <c r="F79" s="25" t="s">
        <v>379</v>
      </c>
      <c r="G79" s="25" t="s">
        <v>5</v>
      </c>
      <c r="H79" s="26" t="s">
        <v>891</v>
      </c>
      <c r="I79" s="27" t="s">
        <v>380</v>
      </c>
      <c r="J79" t="s">
        <v>302</v>
      </c>
      <c r="K79" t="s">
        <v>335</v>
      </c>
    </row>
    <row r="80" spans="1:11" ht="14.4">
      <c r="A80" s="22" t="str">
        <f>F80&amp;(COUNTIFS(F$2:F80,F80,K$2:K80,"Sparse"))</f>
        <v>SD8</v>
      </c>
      <c r="B80" s="22" t="str">
        <f>J80&amp;(COUNTIF(J$2:J80,J80))</f>
        <v>Devon2</v>
      </c>
      <c r="C80" t="s">
        <v>53</v>
      </c>
      <c r="D80" t="s">
        <v>53</v>
      </c>
      <c r="E80" s="25" t="s">
        <v>1</v>
      </c>
      <c r="F80" s="25" t="s">
        <v>379</v>
      </c>
      <c r="G80" s="25" t="s">
        <v>5</v>
      </c>
      <c r="H80" s="26" t="s">
        <v>891</v>
      </c>
      <c r="I80" s="27" t="s">
        <v>380</v>
      </c>
      <c r="J80" t="s">
        <v>308</v>
      </c>
      <c r="K80" t="s">
        <v>335</v>
      </c>
    </row>
    <row r="81" spans="1:11" ht="14.4">
      <c r="A81" s="22" t="str">
        <f>F81&amp;(COUNTIFS(F$2:F81,F81,K$2:K81,"Sparse"))</f>
        <v>SD8</v>
      </c>
      <c r="B81" s="22" t="str">
        <f>J81&amp;(COUNTIF(J$2:J81,J81))</f>
        <v>Hampshire2</v>
      </c>
      <c r="C81" t="s">
        <v>55</v>
      </c>
      <c r="D81" t="s">
        <v>55</v>
      </c>
      <c r="E81" s="25" t="s">
        <v>0</v>
      </c>
      <c r="F81" s="25" t="s">
        <v>379</v>
      </c>
      <c r="G81" s="25" t="s">
        <v>5</v>
      </c>
      <c r="H81" s="26" t="s">
        <v>891</v>
      </c>
      <c r="I81" s="27" t="s">
        <v>380</v>
      </c>
      <c r="J81" t="s">
        <v>313</v>
      </c>
    </row>
    <row r="82" spans="1:11" ht="14.4">
      <c r="A82" s="22" t="str">
        <f>F82&amp;(COUNTIFS(F$2:F82,F82,K$2:K82,"Sparse"))</f>
        <v>SD8</v>
      </c>
      <c r="B82" s="22" t="str">
        <f>J82&amp;(COUNTIF(J$2:J82,J82))</f>
        <v>Hertfordshire3</v>
      </c>
      <c r="C82" t="s">
        <v>56</v>
      </c>
      <c r="D82" t="s">
        <v>56</v>
      </c>
      <c r="E82" s="25" t="s">
        <v>368</v>
      </c>
      <c r="F82" s="25" t="s">
        <v>379</v>
      </c>
      <c r="G82" s="25" t="s">
        <v>5</v>
      </c>
      <c r="H82" s="26" t="s">
        <v>892</v>
      </c>
      <c r="I82" s="27" t="s">
        <v>892</v>
      </c>
      <c r="J82" t="s">
        <v>314</v>
      </c>
    </row>
    <row r="83" spans="1:11" ht="14.4">
      <c r="A83" s="22" t="str">
        <f>F83&amp;(COUNTIFS(F$2:F83,F83,K$2:K83,"Sparse"))</f>
        <v>SD9</v>
      </c>
      <c r="B83" s="22" t="str">
        <f>J83&amp;(COUNTIF(J$2:J83,J83))</f>
        <v>Lincolnshire2</v>
      </c>
      <c r="C83" t="s">
        <v>57</v>
      </c>
      <c r="D83" t="s">
        <v>57</v>
      </c>
      <c r="E83" s="25" t="s">
        <v>366</v>
      </c>
      <c r="F83" s="25" t="s">
        <v>379</v>
      </c>
      <c r="G83" s="25" t="s">
        <v>5</v>
      </c>
      <c r="H83" s="26" t="s">
        <v>891</v>
      </c>
      <c r="I83" s="27" t="s">
        <v>380</v>
      </c>
      <c r="J83" t="s">
        <v>318</v>
      </c>
      <c r="K83" t="s">
        <v>335</v>
      </c>
    </row>
    <row r="84" spans="1:11" ht="14.4">
      <c r="A84" s="22" t="str">
        <f>F84&amp;(COUNTIFS(F$2:F84,F84,K$2:K84,"Sparse"))</f>
        <v>UA5</v>
      </c>
      <c r="B84" s="22" t="str">
        <f>J84&amp;(COUNTIF(J$2:J84,J84))</f>
        <v>Unitary19</v>
      </c>
      <c r="C84" t="s">
        <v>267</v>
      </c>
      <c r="D84" t="s">
        <v>267</v>
      </c>
      <c r="E84" s="25" t="s">
        <v>383</v>
      </c>
      <c r="F84" s="25" t="s">
        <v>385</v>
      </c>
      <c r="G84" s="25" t="s">
        <v>394</v>
      </c>
      <c r="H84" s="26" t="s">
        <v>891</v>
      </c>
      <c r="I84" s="27" t="s">
        <v>380</v>
      </c>
      <c r="J84" t="s">
        <v>394</v>
      </c>
      <c r="K84" t="s">
        <v>335</v>
      </c>
    </row>
    <row r="85" spans="1:11" ht="14.4">
      <c r="A85" s="22" t="str">
        <f>F85&amp;(COUNTIFS(F$2:F85,F85,K$2:K85,"Sparse"))</f>
        <v>SD9</v>
      </c>
      <c r="B85" s="22" t="str">
        <f>J85&amp;(COUNTIF(J$2:J85,J85))</f>
        <v>Staffordshire2</v>
      </c>
      <c r="C85" t="s">
        <v>59</v>
      </c>
      <c r="D85" t="s">
        <v>59</v>
      </c>
      <c r="E85" s="25" t="s">
        <v>367</v>
      </c>
      <c r="F85" s="25" t="s">
        <v>379</v>
      </c>
      <c r="G85" s="25" t="s">
        <v>5</v>
      </c>
      <c r="H85" s="26" t="s">
        <v>892</v>
      </c>
      <c r="I85" s="27" t="s">
        <v>892</v>
      </c>
      <c r="J85" t="s">
        <v>327</v>
      </c>
    </row>
    <row r="86" spans="1:11" ht="14.4">
      <c r="A86" s="22" t="str">
        <f>F86&amp;(COUNTIFS(F$2:F86,F86,K$2:K86,"Sparse"))</f>
        <v>SD10</v>
      </c>
      <c r="B86" s="22" t="str">
        <f>J86&amp;(COUNTIF(J$2:J86,J86))</f>
        <v>Suffolk2</v>
      </c>
      <c r="C86" t="s">
        <v>894</v>
      </c>
      <c r="D86" t="s">
        <v>894</v>
      </c>
      <c r="E86" s="25" t="s">
        <v>368</v>
      </c>
      <c r="F86" s="25" t="s">
        <v>379</v>
      </c>
      <c r="G86" s="25" t="s">
        <v>5</v>
      </c>
      <c r="H86" s="26" t="s">
        <v>891</v>
      </c>
      <c r="I86" s="27" t="s">
        <v>891</v>
      </c>
      <c r="J86" t="s">
        <v>328</v>
      </c>
      <c r="K86" t="s">
        <v>335</v>
      </c>
    </row>
    <row r="87" spans="1:11" ht="14.4">
      <c r="A87" s="22" t="str">
        <f>F87&amp;(COUNTIFS(F$2:F87,F87,K$2:K87,"Sparse"))</f>
        <v>SC1</v>
      </c>
      <c r="B87" s="22" t="str">
        <f>J87&amp;(COUNTIF(J$2:J87,J87))</f>
        <v>East Sussex1</v>
      </c>
      <c r="C87" t="s">
        <v>310</v>
      </c>
      <c r="D87" t="s">
        <v>310</v>
      </c>
      <c r="E87" s="25" t="s">
        <v>0</v>
      </c>
      <c r="F87" s="25" t="s">
        <v>387</v>
      </c>
      <c r="G87" s="25" t="s">
        <v>301</v>
      </c>
      <c r="H87" s="26" t="s">
        <v>892</v>
      </c>
      <c r="I87" s="27" t="s">
        <v>892</v>
      </c>
      <c r="J87" s="3" t="s">
        <v>310</v>
      </c>
    </row>
    <row r="88" spans="1:11" ht="14.4">
      <c r="A88" s="22" t="str">
        <f>F88&amp;(COUNTIFS(F$2:F88,F88,K$2:K88,"Sparse"))</f>
        <v>SD10</v>
      </c>
      <c r="B88" s="22" t="str">
        <f>J88&amp;(COUNTIF(J$2:J88,J88))</f>
        <v>East Sussex2</v>
      </c>
      <c r="C88" t="s">
        <v>60</v>
      </c>
      <c r="D88" t="s">
        <v>60</v>
      </c>
      <c r="E88" s="25" t="s">
        <v>0</v>
      </c>
      <c r="F88" s="25" t="s">
        <v>379</v>
      </c>
      <c r="G88" s="25" t="s">
        <v>5</v>
      </c>
      <c r="H88" s="26" t="s">
        <v>382</v>
      </c>
      <c r="I88" s="27" t="s">
        <v>382</v>
      </c>
      <c r="J88" t="s">
        <v>310</v>
      </c>
    </row>
    <row r="89" spans="1:11">
      <c r="A89" s="22" t="str">
        <f>F89&amp;(COUNTIFS(F$2:F89,F89,K$2:K89,"Sparse"))</f>
        <v>SD10</v>
      </c>
      <c r="B89" s="22" t="str">
        <f>J89&amp;(COUNTIF(J$2:J89,J89))</f>
        <v>Hampshire3</v>
      </c>
      <c r="C89" t="s">
        <v>61</v>
      </c>
      <c r="D89" t="s">
        <v>61</v>
      </c>
      <c r="E89" s="25" t="s">
        <v>0</v>
      </c>
      <c r="F89" s="25" t="s">
        <v>379</v>
      </c>
      <c r="G89" s="25" t="s">
        <v>5</v>
      </c>
      <c r="H89" s="26" t="s">
        <v>382</v>
      </c>
      <c r="I89" s="26" t="s">
        <v>382</v>
      </c>
      <c r="J89" t="s">
        <v>313</v>
      </c>
    </row>
    <row r="90" spans="1:11" ht="14.4">
      <c r="A90" s="22" t="str">
        <f>F90&amp;(COUNTIFS(F$2:F90,F90,K$2:K90,"Sparse"))</f>
        <v>SD10</v>
      </c>
      <c r="B90" s="22" t="str">
        <f>J90&amp;(COUNTIF(J$2:J90,J90))</f>
        <v>Surrey1</v>
      </c>
      <c r="C90" t="s">
        <v>63</v>
      </c>
      <c r="D90" t="s">
        <v>63</v>
      </c>
      <c r="E90" s="25" t="s">
        <v>0</v>
      </c>
      <c r="F90" s="25" t="s">
        <v>379</v>
      </c>
      <c r="G90" s="25" t="s">
        <v>5</v>
      </c>
      <c r="H90" s="26" t="s">
        <v>382</v>
      </c>
      <c r="I90" s="27" t="s">
        <v>382</v>
      </c>
      <c r="J90" t="s">
        <v>329</v>
      </c>
    </row>
    <row r="91" spans="1:11" ht="14.4">
      <c r="A91" s="22" t="str">
        <f>F91&amp;(COUNTIFS(F$2:F91,F91,K$2:K91,"Sparse"))</f>
        <v>L0</v>
      </c>
      <c r="B91" s="22" t="str">
        <f>J91&amp;(COUNTIF(J$2:J91,J91))</f>
        <v>London10</v>
      </c>
      <c r="C91" t="s">
        <v>203</v>
      </c>
      <c r="D91" t="s">
        <v>203</v>
      </c>
      <c r="E91" s="25" t="s">
        <v>381</v>
      </c>
      <c r="F91" s="25" t="s">
        <v>358</v>
      </c>
      <c r="G91" s="25" t="s">
        <v>381</v>
      </c>
      <c r="H91" s="26" t="s">
        <v>382</v>
      </c>
      <c r="I91" s="27" t="s">
        <v>382</v>
      </c>
      <c r="J91" t="s">
        <v>381</v>
      </c>
    </row>
    <row r="92" spans="1:11" ht="14.4">
      <c r="A92" s="22" t="str">
        <f>F92&amp;(COUNTIFS(F$2:F92,F92,K$2:K92,"Sparse"))</f>
        <v>SD10</v>
      </c>
      <c r="B92" s="22" t="str">
        <f>J92&amp;(COUNTIF(J$2:J92,J92))</f>
        <v>Essex7</v>
      </c>
      <c r="C92" t="s">
        <v>64</v>
      </c>
      <c r="D92" t="s">
        <v>64</v>
      </c>
      <c r="E92" s="25" t="s">
        <v>368</v>
      </c>
      <c r="F92" s="25" t="s">
        <v>379</v>
      </c>
      <c r="G92" s="25" t="s">
        <v>5</v>
      </c>
      <c r="H92" s="26" t="s">
        <v>892</v>
      </c>
      <c r="I92" s="27" t="s">
        <v>892</v>
      </c>
      <c r="J92" t="s">
        <v>311</v>
      </c>
    </row>
    <row r="93" spans="1:11" ht="14.4">
      <c r="A93" s="22" t="str">
        <f>F93&amp;(COUNTIFS(F$2:F93,F93,K$2:K93,"Sparse"))</f>
        <v>SD10</v>
      </c>
      <c r="B93" s="22" t="str">
        <f>J93&amp;(COUNTIF(J$2:J93,J93))</f>
        <v>Surrey2</v>
      </c>
      <c r="C93" t="s">
        <v>343</v>
      </c>
      <c r="D93" t="s">
        <v>343</v>
      </c>
      <c r="E93" s="25" t="s">
        <v>0</v>
      </c>
      <c r="F93" s="25" t="s">
        <v>379</v>
      </c>
      <c r="G93" s="25" t="s">
        <v>5</v>
      </c>
      <c r="H93" s="26" t="s">
        <v>382</v>
      </c>
      <c r="I93" s="27" t="s">
        <v>382</v>
      </c>
      <c r="J93" t="s">
        <v>329</v>
      </c>
    </row>
    <row r="94" spans="1:11" ht="14.4">
      <c r="A94" s="22" t="str">
        <f>F94&amp;(COUNTIFS(F$2:F94,F94,K$2:K94,"Sparse"))</f>
        <v>SD10</v>
      </c>
      <c r="B94" s="22" t="str">
        <f>J94&amp;(COUNTIF(J$2:J94,J94))</f>
        <v>Derbyshire6</v>
      </c>
      <c r="C94" t="s">
        <v>65</v>
      </c>
      <c r="D94" t="s">
        <v>65</v>
      </c>
      <c r="E94" s="25" t="s">
        <v>366</v>
      </c>
      <c r="F94" s="25" t="s">
        <v>379</v>
      </c>
      <c r="G94" s="25" t="s">
        <v>5</v>
      </c>
      <c r="H94" s="26" t="s">
        <v>382</v>
      </c>
      <c r="I94" s="27" t="s">
        <v>382</v>
      </c>
      <c r="J94" t="s">
        <v>307</v>
      </c>
    </row>
    <row r="95" spans="1:11" ht="14.4">
      <c r="A95" s="22" t="str">
        <f>F95&amp;(COUNTIFS(F$2:F95,F95,K$2:K95,"Sparse"))</f>
        <v>SC1</v>
      </c>
      <c r="B95" s="22" t="str">
        <f>J95&amp;(COUNTIF(J$2:J95,J95))</f>
        <v>Essex8</v>
      </c>
      <c r="C95" t="s">
        <v>311</v>
      </c>
      <c r="D95" t="s">
        <v>311</v>
      </c>
      <c r="E95" s="25" t="s">
        <v>368</v>
      </c>
      <c r="F95" s="25" t="s">
        <v>387</v>
      </c>
      <c r="G95" s="25" t="s">
        <v>301</v>
      </c>
      <c r="H95" s="26" t="s">
        <v>892</v>
      </c>
      <c r="I95" s="27" t="s">
        <v>892</v>
      </c>
      <c r="J95" t="s">
        <v>311</v>
      </c>
    </row>
    <row r="96" spans="1:11" ht="14.4">
      <c r="A96" s="22" t="str">
        <f>F96&amp;(COUNTIFS(F$2:F96,F96,K$2:K96,"Sparse"))</f>
        <v>SD10</v>
      </c>
      <c r="B96" s="22" t="str">
        <f>J96&amp;(COUNTIF(J$2:J96,J96))</f>
        <v>Devon3</v>
      </c>
      <c r="C96" t="s">
        <v>66</v>
      </c>
      <c r="D96" t="s">
        <v>66</v>
      </c>
      <c r="E96" s="25" t="s">
        <v>1</v>
      </c>
      <c r="F96" s="25" t="s">
        <v>379</v>
      </c>
      <c r="G96" s="25" t="s">
        <v>5</v>
      </c>
      <c r="H96" s="26" t="s">
        <v>382</v>
      </c>
      <c r="I96" s="27" t="s">
        <v>382</v>
      </c>
      <c r="J96" t="s">
        <v>308</v>
      </c>
    </row>
    <row r="97" spans="1:11" ht="14.4">
      <c r="A97" s="22" t="str">
        <f>F97&amp;(COUNTIFS(F$2:F97,F97,K$2:K97,"Sparse"))</f>
        <v>SD10</v>
      </c>
      <c r="B97" s="22" t="str">
        <f>J97&amp;(COUNTIF(J$2:J97,J97))</f>
        <v>Hampshire4</v>
      </c>
      <c r="C97" t="s">
        <v>67</v>
      </c>
      <c r="D97" t="s">
        <v>67</v>
      </c>
      <c r="E97" s="25" t="s">
        <v>0</v>
      </c>
      <c r="F97" s="25" t="s">
        <v>379</v>
      </c>
      <c r="G97" s="25" t="s">
        <v>5</v>
      </c>
      <c r="H97" s="26" t="s">
        <v>382</v>
      </c>
      <c r="I97" s="27" t="s">
        <v>382</v>
      </c>
      <c r="J97" t="s">
        <v>313</v>
      </c>
    </row>
    <row r="98" spans="1:11" ht="14.4">
      <c r="A98" s="22" t="str">
        <f>F98&amp;(COUNTIFS(F$2:F98,F98,K$2:K98,"Sparse"))</f>
        <v>SD10</v>
      </c>
      <c r="B98" s="22" t="str">
        <f>J98&amp;(COUNTIF(J$2:J98,J98))</f>
        <v>Cambridgeshire4</v>
      </c>
      <c r="C98" s="27" t="s">
        <v>68</v>
      </c>
      <c r="D98" s="27" t="s">
        <v>68</v>
      </c>
      <c r="E98" s="25" t="s">
        <v>368</v>
      </c>
      <c r="F98" s="25" t="s">
        <v>379</v>
      </c>
      <c r="G98" s="25" t="s">
        <v>5</v>
      </c>
      <c r="H98" s="27" t="s">
        <v>891</v>
      </c>
      <c r="I98" s="27" t="s">
        <v>380</v>
      </c>
      <c r="J98" t="s">
        <v>302</v>
      </c>
    </row>
    <row r="99" spans="1:11" ht="14.4">
      <c r="A99" s="22" t="str">
        <f>F99&amp;(COUNTIFS(F$2:F99,F99,K$2:K99,"Sparse"))</f>
        <v>SD10</v>
      </c>
      <c r="B99" s="22" t="str">
        <f>J99&amp;(COUNTIF(J$2:J99,J99))</f>
        <v>Kent5</v>
      </c>
      <c r="C99" t="s">
        <v>890</v>
      </c>
      <c r="D99" t="s">
        <v>890</v>
      </c>
      <c r="E99" s="25" t="s">
        <v>0</v>
      </c>
      <c r="F99" s="25" t="s">
        <v>379</v>
      </c>
      <c r="G99" s="25" t="s">
        <v>5</v>
      </c>
      <c r="H99" s="26" t="s">
        <v>892</v>
      </c>
      <c r="I99" s="27" t="s">
        <v>892</v>
      </c>
      <c r="J99" t="s">
        <v>315</v>
      </c>
    </row>
    <row r="100" spans="1:11" ht="14.4">
      <c r="A100" s="22" t="str">
        <f>F100&amp;(COUNTIFS(F$2:F100,F100,K$2:K100,"Sparse"))</f>
        <v>SD11</v>
      </c>
      <c r="B100" s="22" t="str">
        <f>J100&amp;(COUNTIF(J$2:J100,J100))</f>
        <v>Gloucestershire3</v>
      </c>
      <c r="C100" t="s">
        <v>70</v>
      </c>
      <c r="D100" t="s">
        <v>70</v>
      </c>
      <c r="E100" s="25" t="s">
        <v>1</v>
      </c>
      <c r="F100" s="25" t="s">
        <v>379</v>
      </c>
      <c r="G100" s="25" t="s">
        <v>5</v>
      </c>
      <c r="H100" s="26" t="s">
        <v>891</v>
      </c>
      <c r="I100" s="27" t="s">
        <v>380</v>
      </c>
      <c r="J100" t="s">
        <v>312</v>
      </c>
      <c r="K100" t="s">
        <v>335</v>
      </c>
    </row>
    <row r="101" spans="1:11" ht="14.4">
      <c r="A101" s="22" t="str">
        <f>F101&amp;(COUNTIFS(F$2:F101,F101,K$2:K101,"Sparse"))</f>
        <v>SD11</v>
      </c>
      <c r="B101" s="22" t="str">
        <f>J101&amp;(COUNTIF(J$2:J101,J101))</f>
        <v>Lancashire3</v>
      </c>
      <c r="C101" t="s">
        <v>71</v>
      </c>
      <c r="D101" t="s">
        <v>71</v>
      </c>
      <c r="E101" s="25" t="s">
        <v>374</v>
      </c>
      <c r="F101" s="25" t="s">
        <v>379</v>
      </c>
      <c r="G101" s="25" t="s">
        <v>5</v>
      </c>
      <c r="H101" s="26" t="s">
        <v>382</v>
      </c>
      <c r="I101" s="27" t="s">
        <v>382</v>
      </c>
      <c r="J101" t="s">
        <v>316</v>
      </c>
    </row>
    <row r="102" spans="1:11" ht="14.4">
      <c r="A102" s="22" t="str">
        <f>F102&amp;(COUNTIFS(F$2:F102,F102,K$2:K102,"Sparse"))</f>
        <v>MD0</v>
      </c>
      <c r="B102" s="22" t="str">
        <f>J102&amp;(COUNTIF(J$2:J102,J102))</f>
        <v>Gateshead1</v>
      </c>
      <c r="C102" t="s">
        <v>231</v>
      </c>
      <c r="D102" t="s">
        <v>231</v>
      </c>
      <c r="E102" s="25" t="s">
        <v>388</v>
      </c>
      <c r="F102" s="25" t="s">
        <v>384</v>
      </c>
      <c r="G102" s="25" t="s">
        <v>395</v>
      </c>
      <c r="H102" s="26" t="s">
        <v>382</v>
      </c>
      <c r="I102" s="27" t="s">
        <v>382</v>
      </c>
      <c r="J102" t="s">
        <v>231</v>
      </c>
    </row>
    <row r="103" spans="1:11" ht="14.4">
      <c r="A103" s="22" t="str">
        <f>F103&amp;(COUNTIFS(F$2:F103,F103,K$2:K103,"Sparse"))</f>
        <v>SD11</v>
      </c>
      <c r="B103" s="22" t="str">
        <f>J103&amp;(COUNTIF(J$2:J103,J103))</f>
        <v>Nottinghamshire4</v>
      </c>
      <c r="C103" t="s">
        <v>72</v>
      </c>
      <c r="D103" t="s">
        <v>72</v>
      </c>
      <c r="E103" s="25" t="s">
        <v>366</v>
      </c>
      <c r="F103" s="25" t="s">
        <v>379</v>
      </c>
      <c r="G103" s="25" t="s">
        <v>5</v>
      </c>
      <c r="H103" s="26" t="s">
        <v>382</v>
      </c>
      <c r="I103" s="27" t="s">
        <v>382</v>
      </c>
      <c r="J103" t="s">
        <v>323</v>
      </c>
    </row>
    <row r="104" spans="1:11" ht="14.4">
      <c r="A104" s="22" t="str">
        <f>F104&amp;(COUNTIFS(F$2:F104,F104,K$2:K104,"Sparse"))</f>
        <v>SD11</v>
      </c>
      <c r="B104" s="22" t="str">
        <f>J104&amp;(COUNTIF(J$2:J104,J104))</f>
        <v>Gloucestershire4</v>
      </c>
      <c r="C104" t="s">
        <v>73</v>
      </c>
      <c r="D104" t="s">
        <v>73</v>
      </c>
      <c r="E104" s="25" t="s">
        <v>1</v>
      </c>
      <c r="F104" s="25" t="s">
        <v>379</v>
      </c>
      <c r="G104" s="25" t="s">
        <v>5</v>
      </c>
      <c r="H104" s="26" t="s">
        <v>382</v>
      </c>
      <c r="I104" s="27" t="s">
        <v>382</v>
      </c>
      <c r="J104" t="s">
        <v>312</v>
      </c>
    </row>
    <row r="105" spans="1:11" ht="14.4">
      <c r="A105" s="22" t="str">
        <f>F105&amp;(COUNTIFS(F$2:F105,F105,K$2:K105,"Sparse"))</f>
        <v>SC1</v>
      </c>
      <c r="B105" s="22" t="str">
        <f>J105&amp;(COUNTIF(J$2:J105,J105))</f>
        <v>Gloucestershire5</v>
      </c>
      <c r="C105" t="s">
        <v>312</v>
      </c>
      <c r="D105" t="s">
        <v>312</v>
      </c>
      <c r="E105" s="25" t="s">
        <v>1</v>
      </c>
      <c r="F105" s="25" t="s">
        <v>387</v>
      </c>
      <c r="G105" s="25" t="s">
        <v>301</v>
      </c>
      <c r="H105" s="26" t="s">
        <v>892</v>
      </c>
      <c r="I105" s="27" t="s">
        <v>892</v>
      </c>
      <c r="J105" t="s">
        <v>312</v>
      </c>
    </row>
    <row r="106" spans="1:11" ht="14.4">
      <c r="A106" s="22" t="str">
        <f>F106&amp;(COUNTIFS(F$2:F106,F106,K$2:K106,"Sparse"))</f>
        <v>SD11</v>
      </c>
      <c r="B106" s="22" t="str">
        <f>J106&amp;(COUNTIF(J$2:J106,J106))</f>
        <v>Hampshire5</v>
      </c>
      <c r="C106" t="s">
        <v>74</v>
      </c>
      <c r="D106" t="s">
        <v>74</v>
      </c>
      <c r="E106" s="25" t="s">
        <v>0</v>
      </c>
      <c r="F106" s="25" t="s">
        <v>379</v>
      </c>
      <c r="G106" s="25" t="s">
        <v>5</v>
      </c>
      <c r="H106" s="26" t="s">
        <v>382</v>
      </c>
      <c r="I106" s="27" t="s">
        <v>382</v>
      </c>
      <c r="J106" t="s">
        <v>313</v>
      </c>
    </row>
    <row r="107" spans="1:11" ht="14.4">
      <c r="A107" s="22" t="str">
        <f>F107&amp;(COUNTIFS(F$2:F107,F107,K$2:K107,"Sparse"))</f>
        <v>SD11</v>
      </c>
      <c r="B107" s="22" t="str">
        <f>J107&amp;(COUNTIF(J$2:J107,J107))</f>
        <v>Kent6</v>
      </c>
      <c r="C107" s="27" t="s">
        <v>75</v>
      </c>
      <c r="D107" s="27" t="s">
        <v>75</v>
      </c>
      <c r="E107" s="25" t="s">
        <v>0</v>
      </c>
      <c r="F107" s="25" t="s">
        <v>379</v>
      </c>
      <c r="G107" s="25" t="s">
        <v>5</v>
      </c>
      <c r="H107" s="27" t="s">
        <v>382</v>
      </c>
      <c r="I107" s="27" t="s">
        <v>382</v>
      </c>
      <c r="J107" t="s">
        <v>315</v>
      </c>
    </row>
    <row r="108" spans="1:11" ht="14.4">
      <c r="A108" s="22" t="str">
        <f>F108&amp;(COUNTIFS(F$2:F108,F108,K$2:K108,"Sparse"))</f>
        <v>SD11</v>
      </c>
      <c r="B108" s="22" t="str">
        <f>J108&amp;(COUNTIF(J$2:J108,J108))</f>
        <v>Norfolk3</v>
      </c>
      <c r="C108" t="s">
        <v>76</v>
      </c>
      <c r="D108" t="s">
        <v>76</v>
      </c>
      <c r="E108" s="25" t="s">
        <v>368</v>
      </c>
      <c r="F108" s="25" t="s">
        <v>379</v>
      </c>
      <c r="G108" s="25" t="s">
        <v>5</v>
      </c>
      <c r="H108" s="26" t="s">
        <v>892</v>
      </c>
      <c r="I108" s="27" t="s">
        <v>892</v>
      </c>
      <c r="J108" t="s">
        <v>319</v>
      </c>
    </row>
    <row r="109" spans="1:11" ht="14.4">
      <c r="A109" s="22" t="str">
        <f>F109&amp;(COUNTIFS(F$2:F109,F109,K$2:K109,"Sparse"))</f>
        <v>L0</v>
      </c>
      <c r="B109" s="22" t="str">
        <f>J109&amp;(COUNTIF(J$2:J109,J109))</f>
        <v>London11</v>
      </c>
      <c r="C109" t="s">
        <v>204</v>
      </c>
      <c r="D109" t="s">
        <v>204</v>
      </c>
      <c r="E109" s="25" t="s">
        <v>381</v>
      </c>
      <c r="F109" s="25" t="s">
        <v>358</v>
      </c>
      <c r="G109" s="25" t="s">
        <v>381</v>
      </c>
      <c r="H109" s="26" t="s">
        <v>382</v>
      </c>
      <c r="I109" s="27" t="s">
        <v>382</v>
      </c>
      <c r="J109" t="s">
        <v>381</v>
      </c>
    </row>
    <row r="110" spans="1:11" ht="14.4">
      <c r="A110" s="22" t="str">
        <f>F110&amp;(COUNTIFS(F$2:F110,F110,K$2:K110,"Sparse"))</f>
        <v>SD11</v>
      </c>
      <c r="B110" s="22" t="str">
        <f>J110&amp;(COUNTIF(J$2:J110,J110))</f>
        <v>Surrey3</v>
      </c>
      <c r="C110" t="s">
        <v>77</v>
      </c>
      <c r="D110" t="s">
        <v>77</v>
      </c>
      <c r="E110" s="25" t="s">
        <v>0</v>
      </c>
      <c r="F110" s="25" t="s">
        <v>379</v>
      </c>
      <c r="G110" s="25" t="s">
        <v>5</v>
      </c>
      <c r="H110" s="26" t="s">
        <v>382</v>
      </c>
      <c r="I110" s="27" t="s">
        <v>382</v>
      </c>
      <c r="J110" t="s">
        <v>329</v>
      </c>
    </row>
    <row r="111" spans="1:11" ht="14.4">
      <c r="A111" s="22" t="str">
        <f>F111&amp;(COUNTIFS(F$2:F111,F111,K$2:K111,"Sparse"))</f>
        <v>L0</v>
      </c>
      <c r="B111" s="22" t="str">
        <f>J111&amp;(COUNTIF(J$2:J111,J111))</f>
        <v>London12</v>
      </c>
      <c r="C111" t="s">
        <v>205</v>
      </c>
      <c r="D111" t="s">
        <v>205</v>
      </c>
      <c r="E111" s="25" t="s">
        <v>381</v>
      </c>
      <c r="F111" s="25" t="s">
        <v>358</v>
      </c>
      <c r="G111" s="25" t="s">
        <v>381</v>
      </c>
      <c r="H111" s="26" t="s">
        <v>382</v>
      </c>
      <c r="I111" s="27" t="s">
        <v>382</v>
      </c>
      <c r="J111" t="s">
        <v>381</v>
      </c>
    </row>
    <row r="112" spans="1:11" ht="14.4">
      <c r="A112" s="22" t="str">
        <f>F112&amp;(COUNTIFS(F$2:F112,F112,K$2:K112,"Sparse"))</f>
        <v>UA5</v>
      </c>
      <c r="B112" s="22" t="str">
        <f>J112&amp;(COUNTIF(J$2:J112,J112))</f>
        <v>Unitary20</v>
      </c>
      <c r="C112" t="s">
        <v>268</v>
      </c>
      <c r="D112" t="s">
        <v>268</v>
      </c>
      <c r="E112" s="25" t="s">
        <v>374</v>
      </c>
      <c r="F112" s="25" t="s">
        <v>385</v>
      </c>
      <c r="G112" s="25" t="s">
        <v>394</v>
      </c>
      <c r="H112" s="26" t="s">
        <v>382</v>
      </c>
      <c r="I112" s="27" t="s">
        <v>382</v>
      </c>
      <c r="J112" t="s">
        <v>394</v>
      </c>
    </row>
    <row r="113" spans="1:11" ht="14.4">
      <c r="A113" s="22" t="str">
        <f>F113&amp;(COUNTIFS(F$2:F113,F113,K$2:K113,"Sparse"))</f>
        <v>L0</v>
      </c>
      <c r="B113" s="22" t="str">
        <f>J113&amp;(COUNTIF(J$2:J113,J113))</f>
        <v>London13</v>
      </c>
      <c r="C113" t="s">
        <v>336</v>
      </c>
      <c r="D113" t="s">
        <v>336</v>
      </c>
      <c r="E113" s="25" t="s">
        <v>381</v>
      </c>
      <c r="F113" s="25" t="s">
        <v>358</v>
      </c>
      <c r="G113" s="25" t="s">
        <v>381</v>
      </c>
      <c r="H113" s="26" t="s">
        <v>382</v>
      </c>
      <c r="I113" s="27" t="s">
        <v>382</v>
      </c>
      <c r="J113" s="3" t="s">
        <v>381</v>
      </c>
    </row>
    <row r="114" spans="1:11" ht="14.4">
      <c r="A114" s="22" t="str">
        <f>F114&amp;(COUNTIFS(F$2:F114,F114,K$2:K114,"Sparse"))</f>
        <v>SC2</v>
      </c>
      <c r="B114" s="22" t="str">
        <f>J114&amp;(COUNTIF(J$2:J114,J114))</f>
        <v>Hampshire6</v>
      </c>
      <c r="C114" t="s">
        <v>313</v>
      </c>
      <c r="D114" t="s">
        <v>313</v>
      </c>
      <c r="E114" s="25" t="s">
        <v>0</v>
      </c>
      <c r="F114" s="25" t="s">
        <v>387</v>
      </c>
      <c r="G114" s="25" t="s">
        <v>301</v>
      </c>
      <c r="H114" s="26" t="s">
        <v>892</v>
      </c>
      <c r="I114" s="27" t="s">
        <v>892</v>
      </c>
      <c r="J114" t="s">
        <v>313</v>
      </c>
      <c r="K114" t="s">
        <v>335</v>
      </c>
    </row>
    <row r="115" spans="1:11" ht="14.4">
      <c r="A115" s="22" t="str">
        <f>F115&amp;(COUNTIFS(F$2:F115,F115,K$2:K115,"Sparse"))</f>
        <v>SD12</v>
      </c>
      <c r="B115" s="22" t="str">
        <f>J115&amp;(COUNTIF(J$2:J115,J115))</f>
        <v>Leicestershire3</v>
      </c>
      <c r="C115" t="s">
        <v>79</v>
      </c>
      <c r="D115" t="s">
        <v>79</v>
      </c>
      <c r="E115" s="25" t="s">
        <v>366</v>
      </c>
      <c r="F115" s="25" t="s">
        <v>379</v>
      </c>
      <c r="G115" s="25" t="s">
        <v>5</v>
      </c>
      <c r="H115" s="26" t="s">
        <v>891</v>
      </c>
      <c r="I115" s="27" t="s">
        <v>380</v>
      </c>
      <c r="J115" t="s">
        <v>317</v>
      </c>
      <c r="K115" t="s">
        <v>335</v>
      </c>
    </row>
    <row r="116" spans="1:11" ht="14.4">
      <c r="A116" s="22" t="str">
        <f>F116&amp;(COUNTIFS(F$2:F116,F116,K$2:K116,"Sparse"))</f>
        <v>L0</v>
      </c>
      <c r="B116" s="22" t="str">
        <f>J116&amp;(COUNTIF(J$2:J116,J116))</f>
        <v>London14</v>
      </c>
      <c r="C116" s="27" t="s">
        <v>206</v>
      </c>
      <c r="D116" s="27" t="s">
        <v>206</v>
      </c>
      <c r="E116" s="25" t="s">
        <v>381</v>
      </c>
      <c r="F116" s="25" t="s">
        <v>358</v>
      </c>
      <c r="G116" s="25" t="s">
        <v>381</v>
      </c>
      <c r="H116" s="27" t="s">
        <v>382</v>
      </c>
      <c r="I116" s="27" t="s">
        <v>382</v>
      </c>
      <c r="J116" t="s">
        <v>381</v>
      </c>
    </row>
    <row r="117" spans="1:11" ht="14.4">
      <c r="A117" s="22" t="str">
        <f>F117&amp;(COUNTIFS(F$2:F117,F117,K$2:K117,"Sparse"))</f>
        <v>SD12</v>
      </c>
      <c r="B117" s="22" t="str">
        <f>J117&amp;(COUNTIF(J$2:J117,J117))</f>
        <v>Essex9</v>
      </c>
      <c r="C117" t="s">
        <v>80</v>
      </c>
      <c r="D117" t="s">
        <v>80</v>
      </c>
      <c r="E117" s="25" t="s">
        <v>368</v>
      </c>
      <c r="F117" s="25" t="s">
        <v>379</v>
      </c>
      <c r="G117" s="25" t="s">
        <v>5</v>
      </c>
      <c r="H117" s="26" t="s">
        <v>382</v>
      </c>
      <c r="I117" s="27" t="s">
        <v>382</v>
      </c>
      <c r="J117" t="s">
        <v>311</v>
      </c>
    </row>
    <row r="118" spans="1:11" ht="14.4">
      <c r="A118" s="22" t="str">
        <f>F118&amp;(COUNTIFS(F$2:F118,F118,K$2:K118,"Sparse"))</f>
        <v>L0</v>
      </c>
      <c r="B118" s="22" t="str">
        <f>J118&amp;(COUNTIF(J$2:J118,J118))</f>
        <v>London15</v>
      </c>
      <c r="C118" t="s">
        <v>207</v>
      </c>
      <c r="D118" t="s">
        <v>207</v>
      </c>
      <c r="E118" s="25" t="s">
        <v>381</v>
      </c>
      <c r="F118" s="25" t="s">
        <v>358</v>
      </c>
      <c r="G118" s="25" t="s">
        <v>381</v>
      </c>
      <c r="H118" s="26" t="s">
        <v>382</v>
      </c>
      <c r="I118" s="27" t="s">
        <v>382</v>
      </c>
      <c r="J118" t="s">
        <v>381</v>
      </c>
    </row>
    <row r="119" spans="1:11" ht="14.4">
      <c r="A119" s="22" t="str">
        <f>F119&amp;(COUNTIFS(F$2:F119,F119,K$2:K119,"Sparse"))</f>
        <v>SD12</v>
      </c>
      <c r="B119" s="22" t="str">
        <f>J119&amp;(COUNTIF(J$2:J119,J119))</f>
        <v>Hampshire7</v>
      </c>
      <c r="C119" t="s">
        <v>82</v>
      </c>
      <c r="D119" t="s">
        <v>82</v>
      </c>
      <c r="E119" s="25" t="s">
        <v>0</v>
      </c>
      <c r="F119" s="25" t="s">
        <v>379</v>
      </c>
      <c r="G119" s="25" t="s">
        <v>5</v>
      </c>
      <c r="H119" s="26" t="s">
        <v>892</v>
      </c>
      <c r="I119" s="27" t="s">
        <v>892</v>
      </c>
      <c r="J119" t="s">
        <v>313</v>
      </c>
    </row>
    <row r="120" spans="1:11" ht="14.4">
      <c r="A120" s="22" t="str">
        <f>F120&amp;(COUNTIFS(F$2:F120,F120,K$2:K120,"Sparse"))</f>
        <v>UA5</v>
      </c>
      <c r="B120" s="22" t="str">
        <f>J120&amp;(COUNTIF(J$2:J120,J120))</f>
        <v>Unitary21</v>
      </c>
      <c r="C120" t="s">
        <v>269</v>
      </c>
      <c r="D120" t="s">
        <v>269</v>
      </c>
      <c r="E120" s="25" t="s">
        <v>388</v>
      </c>
      <c r="F120" s="25" t="s">
        <v>385</v>
      </c>
      <c r="G120" s="25" t="s">
        <v>394</v>
      </c>
      <c r="H120" s="26" t="s">
        <v>382</v>
      </c>
      <c r="I120" s="27" t="s">
        <v>382</v>
      </c>
      <c r="J120" t="s">
        <v>394</v>
      </c>
    </row>
    <row r="121" spans="1:11" ht="14.4">
      <c r="A121" s="22" t="str">
        <f>F121&amp;(COUNTIFS(F$2:F121,F121,K$2:K121,"Sparse"))</f>
        <v>SD12</v>
      </c>
      <c r="B121" s="22" t="str">
        <f>J121&amp;(COUNTIF(J$2:J121,J121))</f>
        <v>East Sussex3</v>
      </c>
      <c r="C121" t="s">
        <v>83</v>
      </c>
      <c r="D121" t="s">
        <v>83</v>
      </c>
      <c r="E121" s="25" t="s">
        <v>0</v>
      </c>
      <c r="F121" s="25" t="s">
        <v>379</v>
      </c>
      <c r="G121" s="25" t="s">
        <v>5</v>
      </c>
      <c r="H121" s="26" t="s">
        <v>382</v>
      </c>
      <c r="I121" s="27" t="s">
        <v>382</v>
      </c>
      <c r="J121" t="s">
        <v>310</v>
      </c>
    </row>
    <row r="122" spans="1:11" ht="14.4">
      <c r="A122" s="22" t="str">
        <f>F122&amp;(COUNTIFS(F$2:F122,F122,K$2:K122,"Sparse"))</f>
        <v>SD12</v>
      </c>
      <c r="B122" s="22" t="str">
        <f>J122&amp;(COUNTIF(J$2:J122,J122))</f>
        <v>Hampshire8</v>
      </c>
      <c r="C122" t="s">
        <v>84</v>
      </c>
      <c r="D122" t="s">
        <v>84</v>
      </c>
      <c r="E122" s="25" t="s">
        <v>0</v>
      </c>
      <c r="F122" s="25" t="s">
        <v>379</v>
      </c>
      <c r="G122" s="25" t="s">
        <v>5</v>
      </c>
      <c r="H122" s="26" t="s">
        <v>382</v>
      </c>
      <c r="I122" s="27" t="s">
        <v>382</v>
      </c>
      <c r="J122" s="3" t="s">
        <v>313</v>
      </c>
    </row>
    <row r="123" spans="1:11" ht="14.4">
      <c r="A123" s="22" t="str">
        <f>F123&amp;(COUNTIFS(F$2:F123,F123,K$2:K123,"Sparse"))</f>
        <v>L0</v>
      </c>
      <c r="B123" s="22" t="str">
        <f>J123&amp;(COUNTIF(J$2:J123,J123))</f>
        <v>London16</v>
      </c>
      <c r="C123" t="s">
        <v>208</v>
      </c>
      <c r="D123" t="s">
        <v>208</v>
      </c>
      <c r="E123" s="25" t="s">
        <v>381</v>
      </c>
      <c r="F123" s="25" t="s">
        <v>358</v>
      </c>
      <c r="G123" s="25" t="s">
        <v>381</v>
      </c>
      <c r="H123" s="26" t="s">
        <v>382</v>
      </c>
      <c r="I123" s="27" t="s">
        <v>382</v>
      </c>
      <c r="J123" t="s">
        <v>381</v>
      </c>
    </row>
    <row r="124" spans="1:11" ht="14.4">
      <c r="A124" s="22" t="str">
        <f>F124&amp;(COUNTIFS(F$2:F124,F124,K$2:K124,"Sparse"))</f>
        <v>UA6</v>
      </c>
      <c r="B124" s="22" t="str">
        <f>J124&amp;(COUNTIF(J$2:J124,J124))</f>
        <v>Unitary22</v>
      </c>
      <c r="C124" t="s">
        <v>817</v>
      </c>
      <c r="D124" t="s">
        <v>389</v>
      </c>
      <c r="E124" s="25" t="s">
        <v>367</v>
      </c>
      <c r="F124" s="25" t="s">
        <v>385</v>
      </c>
      <c r="G124" s="25" t="s">
        <v>394</v>
      </c>
      <c r="H124" s="26" t="s">
        <v>891</v>
      </c>
      <c r="I124" s="27" t="s">
        <v>380</v>
      </c>
      <c r="J124" t="s">
        <v>394</v>
      </c>
      <c r="K124" t="s">
        <v>335</v>
      </c>
    </row>
    <row r="125" spans="1:11" ht="14.4">
      <c r="A125" s="22" t="str">
        <f>F125&amp;(COUNTIFS(F$2:F125,F125,K$2:K125,"Sparse"))</f>
        <v>SC2</v>
      </c>
      <c r="B125" s="22" t="str">
        <f>J125&amp;(COUNTIF(J$2:J125,J125))</f>
        <v>Hertfordshire4</v>
      </c>
      <c r="C125" t="s">
        <v>314</v>
      </c>
      <c r="D125" t="s">
        <v>314</v>
      </c>
      <c r="E125" s="25" t="s">
        <v>368</v>
      </c>
      <c r="F125" s="25" t="s">
        <v>387</v>
      </c>
      <c r="G125" s="25" t="s">
        <v>301</v>
      </c>
      <c r="H125" s="26" t="s">
        <v>382</v>
      </c>
      <c r="I125" s="27" t="s">
        <v>382</v>
      </c>
      <c r="J125" t="s">
        <v>314</v>
      </c>
    </row>
    <row r="126" spans="1:11" ht="14.4">
      <c r="A126" s="22" t="str">
        <f>F126&amp;(COUNTIFS(F$2:F126,F126,K$2:K126,"Sparse"))</f>
        <v>SD12</v>
      </c>
      <c r="B126" s="22" t="str">
        <f>J126&amp;(COUNTIF(J$2:J126,J126))</f>
        <v>Hertfordshire5</v>
      </c>
      <c r="C126" t="s">
        <v>85</v>
      </c>
      <c r="D126" t="s">
        <v>85</v>
      </c>
      <c r="E126" s="25" t="s">
        <v>368</v>
      </c>
      <c r="F126" s="25" t="s">
        <v>379</v>
      </c>
      <c r="G126" s="25" t="s">
        <v>5</v>
      </c>
      <c r="H126" s="26" t="s">
        <v>382</v>
      </c>
      <c r="I126" s="27" t="s">
        <v>382</v>
      </c>
      <c r="J126" s="3" t="s">
        <v>314</v>
      </c>
    </row>
    <row r="127" spans="1:11" ht="14.4">
      <c r="A127" s="22" t="str">
        <f>F127&amp;(COUNTIFS(F$2:F127,F127,K$2:K127,"Sparse"))</f>
        <v>SD12</v>
      </c>
      <c r="B127" s="22" t="str">
        <f>J127&amp;(COUNTIF(J$2:J127,J127))</f>
        <v>Derbyshire7</v>
      </c>
      <c r="C127" s="27" t="s">
        <v>86</v>
      </c>
      <c r="D127" s="27" t="s">
        <v>86</v>
      </c>
      <c r="E127" s="25" t="s">
        <v>366</v>
      </c>
      <c r="F127" s="25" t="s">
        <v>379</v>
      </c>
      <c r="G127" s="25" t="s">
        <v>5</v>
      </c>
      <c r="H127" s="27" t="s">
        <v>891</v>
      </c>
      <c r="I127" s="27" t="s">
        <v>380</v>
      </c>
      <c r="J127" t="s">
        <v>307</v>
      </c>
    </row>
    <row r="128" spans="1:11" ht="14.4">
      <c r="A128" s="22" t="str">
        <f>F128&amp;(COUNTIFS(F$2:F128,F128,K$2:K128,"Sparse"))</f>
        <v>L0</v>
      </c>
      <c r="B128" s="22" t="str">
        <f>J128&amp;(COUNTIF(J$2:J128,J128))</f>
        <v>London17</v>
      </c>
      <c r="C128" t="s">
        <v>209</v>
      </c>
      <c r="D128" t="s">
        <v>209</v>
      </c>
      <c r="E128" s="25" t="s">
        <v>381</v>
      </c>
      <c r="F128" s="25" t="s">
        <v>358</v>
      </c>
      <c r="G128" s="25" t="s">
        <v>381</v>
      </c>
      <c r="H128" s="26" t="s">
        <v>382</v>
      </c>
      <c r="I128" s="27" t="s">
        <v>382</v>
      </c>
      <c r="J128" t="s">
        <v>381</v>
      </c>
    </row>
    <row r="129" spans="1:11" ht="14.4">
      <c r="A129" s="22" t="str">
        <f>F129&amp;(COUNTIFS(F$2:F129,F129,K$2:K129,"Sparse"))</f>
        <v>SD12</v>
      </c>
      <c r="B129" s="22" t="str">
        <f>J129&amp;(COUNTIF(J$2:J129,J129))</f>
        <v>Leicestershire4</v>
      </c>
      <c r="C129" t="s">
        <v>344</v>
      </c>
      <c r="D129" t="s">
        <v>344</v>
      </c>
      <c r="E129" s="25" t="s">
        <v>366</v>
      </c>
      <c r="F129" s="25" t="s">
        <v>379</v>
      </c>
      <c r="G129" s="25" t="s">
        <v>5</v>
      </c>
      <c r="H129" s="26" t="s">
        <v>891</v>
      </c>
      <c r="I129" s="27" t="s">
        <v>380</v>
      </c>
      <c r="J129" t="s">
        <v>317</v>
      </c>
    </row>
    <row r="130" spans="1:11" ht="14.4">
      <c r="A130" s="22" t="str">
        <f>F130&amp;(COUNTIFS(F$2:F130,F130,K$2:K130,"Sparse"))</f>
        <v>SD12</v>
      </c>
      <c r="B130" s="22" t="str">
        <f>J130&amp;(COUNTIF(J$2:J130,J130))</f>
        <v>West Sussex5</v>
      </c>
      <c r="C130" t="s">
        <v>87</v>
      </c>
      <c r="D130" t="s">
        <v>87</v>
      </c>
      <c r="E130" s="25" t="s">
        <v>0</v>
      </c>
      <c r="F130" s="25" t="s">
        <v>379</v>
      </c>
      <c r="G130" s="25" t="s">
        <v>5</v>
      </c>
      <c r="H130" s="26" t="s">
        <v>891</v>
      </c>
      <c r="I130" s="27" t="s">
        <v>380</v>
      </c>
      <c r="J130" t="s">
        <v>331</v>
      </c>
    </row>
    <row r="131" spans="1:11" ht="14.4">
      <c r="A131" s="22" t="str">
        <f>F131&amp;(COUNTIFS(F$2:F131,F131,K$2:K131,"Sparse"))</f>
        <v>L0</v>
      </c>
      <c r="B131" s="22" t="str">
        <f>J131&amp;(COUNTIF(J$2:J131,J131))</f>
        <v>London18</v>
      </c>
      <c r="C131" t="s">
        <v>210</v>
      </c>
      <c r="D131" t="s">
        <v>210</v>
      </c>
      <c r="E131" s="25" t="s">
        <v>381</v>
      </c>
      <c r="F131" s="25" t="s">
        <v>358</v>
      </c>
      <c r="G131" s="25" t="s">
        <v>381</v>
      </c>
      <c r="H131" s="26" t="s">
        <v>382</v>
      </c>
      <c r="I131" s="27" t="s">
        <v>382</v>
      </c>
      <c r="J131" t="s">
        <v>381</v>
      </c>
    </row>
    <row r="132" spans="1:11" ht="14.4">
      <c r="A132" s="22" t="str">
        <f>F132&amp;(COUNTIFS(F$2:F132,F132,K$2:K132,"Sparse"))</f>
        <v>SD12</v>
      </c>
      <c r="B132" s="22" t="str">
        <f>J132&amp;(COUNTIF(J$2:J132,J132))</f>
        <v>Cambridgeshire5</v>
      </c>
      <c r="C132" t="s">
        <v>88</v>
      </c>
      <c r="D132" t="s">
        <v>88</v>
      </c>
      <c r="E132" s="25" t="s">
        <v>368</v>
      </c>
      <c r="F132" s="25" t="s">
        <v>379</v>
      </c>
      <c r="G132" s="25" t="s">
        <v>5</v>
      </c>
      <c r="H132" s="26" t="s">
        <v>891</v>
      </c>
      <c r="I132" s="27" t="s">
        <v>380</v>
      </c>
      <c r="J132" t="s">
        <v>302</v>
      </c>
    </row>
    <row r="133" spans="1:11" ht="14.4">
      <c r="A133" s="22" t="str">
        <f>F133&amp;(COUNTIFS(F$2:F133,F133,K$2:K133,"Sparse"))</f>
        <v>SD12</v>
      </c>
      <c r="B133" s="22" t="str">
        <f>J133&amp;(COUNTIF(J$2:J133,J133))</f>
        <v>Lancashire4</v>
      </c>
      <c r="C133" t="s">
        <v>89</v>
      </c>
      <c r="D133" t="s">
        <v>89</v>
      </c>
      <c r="E133" s="25" t="s">
        <v>374</v>
      </c>
      <c r="F133" s="25" t="s">
        <v>379</v>
      </c>
      <c r="G133" s="25" t="s">
        <v>5</v>
      </c>
      <c r="H133" s="26" t="s">
        <v>382</v>
      </c>
      <c r="I133" s="27" t="s">
        <v>382</v>
      </c>
      <c r="J133" t="s">
        <v>316</v>
      </c>
    </row>
    <row r="134" spans="1:11" ht="14.4">
      <c r="A134" s="22" t="str">
        <f>F134&amp;(COUNTIFS(F$2:F134,F134,K$2:K134,"Sparse"))</f>
        <v>SD12</v>
      </c>
      <c r="B134" s="22" t="str">
        <f>J134&amp;(COUNTIF(J$2:J134,J134))</f>
        <v>Suffolk3</v>
      </c>
      <c r="C134" t="s">
        <v>90</v>
      </c>
      <c r="D134" t="s">
        <v>90</v>
      </c>
      <c r="E134" s="25" t="s">
        <v>368</v>
      </c>
      <c r="F134" s="25" t="s">
        <v>379</v>
      </c>
      <c r="G134" s="25" t="s">
        <v>5</v>
      </c>
      <c r="H134" s="26" t="s">
        <v>382</v>
      </c>
      <c r="I134" s="27" t="s">
        <v>382</v>
      </c>
      <c r="J134" t="s">
        <v>328</v>
      </c>
    </row>
    <row r="135" spans="1:11" ht="14.4">
      <c r="A135" s="22" t="str">
        <f>F135&amp;(COUNTIFS(F$2:F135,F135,K$2:K135,"Sparse"))</f>
        <v>UA7</v>
      </c>
      <c r="B135" s="22" t="str">
        <f>J135&amp;(COUNTIF(J$2:J135,J135))</f>
        <v>Unitary23</v>
      </c>
      <c r="C135" t="s">
        <v>810</v>
      </c>
      <c r="D135" t="s">
        <v>270</v>
      </c>
      <c r="E135" s="25" t="s">
        <v>0</v>
      </c>
      <c r="F135" s="25" t="s">
        <v>385</v>
      </c>
      <c r="G135" s="25" t="s">
        <v>394</v>
      </c>
      <c r="H135" s="26" t="s">
        <v>891</v>
      </c>
      <c r="I135" s="27" t="s">
        <v>380</v>
      </c>
      <c r="J135" t="s">
        <v>394</v>
      </c>
      <c r="K135" t="s">
        <v>335</v>
      </c>
    </row>
    <row r="136" spans="1:11" ht="14.4">
      <c r="A136" s="22" t="str">
        <f>F136&amp;(COUNTIFS(F$2:F136,F136,K$2:K136,"Sparse"))</f>
        <v>00</v>
      </c>
      <c r="B136" s="22" t="str">
        <f>J136&amp;(COUNTIF(J$2:J136,J136))</f>
        <v>01</v>
      </c>
      <c r="C136" t="s">
        <v>2</v>
      </c>
      <c r="D136" t="s">
        <v>2</v>
      </c>
      <c r="E136" s="25" t="s">
        <v>1</v>
      </c>
      <c r="F136" s="25">
        <v>0</v>
      </c>
      <c r="G136" s="25" t="s">
        <v>398</v>
      </c>
      <c r="H136" s="26" t="s">
        <v>891</v>
      </c>
      <c r="I136" s="27" t="s">
        <v>380</v>
      </c>
      <c r="J136">
        <v>0</v>
      </c>
    </row>
    <row r="137" spans="1:11" ht="14.4">
      <c r="A137" s="22" t="str">
        <f>F137&amp;(COUNTIFS(F$2:F137,F137,K$2:K137,"Sparse"))</f>
        <v>L0</v>
      </c>
      <c r="B137" s="22" t="str">
        <f>J137&amp;(COUNTIF(J$2:J137,J137))</f>
        <v>London19</v>
      </c>
      <c r="C137" t="s">
        <v>211</v>
      </c>
      <c r="D137" t="s">
        <v>211</v>
      </c>
      <c r="E137" s="25" t="s">
        <v>381</v>
      </c>
      <c r="F137" s="25" t="s">
        <v>358</v>
      </c>
      <c r="G137" s="25" t="s">
        <v>381</v>
      </c>
      <c r="H137" s="26" t="s">
        <v>382</v>
      </c>
      <c r="I137" s="27" t="s">
        <v>382</v>
      </c>
      <c r="J137" s="3" t="s">
        <v>381</v>
      </c>
    </row>
    <row r="138" spans="1:11" ht="14.4">
      <c r="A138" s="22" t="str">
        <f>F138&amp;(COUNTIFS(F$2:F138,F138,K$2:K138,"Sparse"))</f>
        <v>L0</v>
      </c>
      <c r="B138" s="22" t="str">
        <f>J138&amp;(COUNTIF(J$2:J138,J138))</f>
        <v>London20</v>
      </c>
      <c r="C138" t="s">
        <v>337</v>
      </c>
      <c r="D138" t="s">
        <v>337</v>
      </c>
      <c r="E138" s="25" t="s">
        <v>381</v>
      </c>
      <c r="F138" s="25" t="s">
        <v>358</v>
      </c>
      <c r="G138" s="3" t="s">
        <v>381</v>
      </c>
      <c r="H138" s="26" t="s">
        <v>382</v>
      </c>
      <c r="I138" s="27" t="s">
        <v>382</v>
      </c>
      <c r="J138" t="s">
        <v>381</v>
      </c>
    </row>
    <row r="139" spans="1:11" ht="14.4">
      <c r="A139" s="22" t="str">
        <f>F139&amp;(COUNTIFS(F$2:F139,F139,K$2:K139,"Sparse"))</f>
        <v>SC2</v>
      </c>
      <c r="B139" s="22" t="str">
        <f>J139&amp;(COUNTIF(J$2:J139,J139))</f>
        <v>Kent7</v>
      </c>
      <c r="C139" t="s">
        <v>315</v>
      </c>
      <c r="D139" t="s">
        <v>315</v>
      </c>
      <c r="E139" s="25" t="s">
        <v>368</v>
      </c>
      <c r="F139" s="25" t="s">
        <v>387</v>
      </c>
      <c r="G139" s="25" t="s">
        <v>301</v>
      </c>
      <c r="H139" s="26" t="s">
        <v>892</v>
      </c>
      <c r="I139" s="27" t="s">
        <v>892</v>
      </c>
      <c r="J139" t="s">
        <v>315</v>
      </c>
    </row>
    <row r="140" spans="1:11" ht="14.4">
      <c r="A140" s="22" t="str">
        <f>F140&amp;(COUNTIFS(F$2:F140,F140,K$2:K140,"Sparse"))</f>
        <v>SD13</v>
      </c>
      <c r="B140" s="22" t="str">
        <f>J140&amp;(COUNTIF(J$2:J140,J140))</f>
        <v>Norfolk4</v>
      </c>
      <c r="C140" t="s">
        <v>375</v>
      </c>
      <c r="D140" t="s">
        <v>375</v>
      </c>
      <c r="E140" s="25" t="s">
        <v>368</v>
      </c>
      <c r="F140" s="25" t="s">
        <v>379</v>
      </c>
      <c r="G140" s="25" t="s">
        <v>5</v>
      </c>
      <c r="H140" s="26" t="s">
        <v>891</v>
      </c>
      <c r="I140" s="27" t="s">
        <v>380</v>
      </c>
      <c r="J140" t="s">
        <v>319</v>
      </c>
      <c r="K140" t="s">
        <v>335</v>
      </c>
    </row>
    <row r="141" spans="1:11" ht="14.4">
      <c r="A141" s="22" t="str">
        <f>F141&amp;(COUNTIFS(F$2:F141,F141,K$2:K141,"Sparse"))</f>
        <v>UA7</v>
      </c>
      <c r="B141" s="22" t="str">
        <f>J141&amp;(COUNTIF(J$2:J141,J141))</f>
        <v>Unitary24</v>
      </c>
      <c r="C141" s="27" t="s">
        <v>818</v>
      </c>
      <c r="D141" s="27" t="s">
        <v>390</v>
      </c>
      <c r="E141" s="25" t="s">
        <v>383</v>
      </c>
      <c r="F141" s="25" t="s">
        <v>385</v>
      </c>
      <c r="G141" s="25" t="s">
        <v>394</v>
      </c>
      <c r="H141" s="27" t="s">
        <v>382</v>
      </c>
      <c r="I141" s="27" t="s">
        <v>382</v>
      </c>
      <c r="J141" t="s">
        <v>394</v>
      </c>
    </row>
    <row r="142" spans="1:11" ht="14.4">
      <c r="A142" s="22" t="str">
        <f>F142&amp;(COUNTIFS(F$2:F142,F142,K$2:K142,"Sparse"))</f>
        <v>L0</v>
      </c>
      <c r="B142" s="22" t="str">
        <f>J142&amp;(COUNTIF(J$2:J142,J142))</f>
        <v>London21</v>
      </c>
      <c r="C142" t="s">
        <v>391</v>
      </c>
      <c r="D142" t="s">
        <v>391</v>
      </c>
      <c r="E142" s="25" t="s">
        <v>381</v>
      </c>
      <c r="F142" s="25" t="s">
        <v>358</v>
      </c>
      <c r="G142" s="25" t="s">
        <v>381</v>
      </c>
      <c r="H142" s="26" t="s">
        <v>382</v>
      </c>
      <c r="I142" s="27" t="s">
        <v>382</v>
      </c>
      <c r="J142" t="s">
        <v>381</v>
      </c>
    </row>
    <row r="143" spans="1:11" ht="14.4">
      <c r="A143" s="22" t="str">
        <f>F143&amp;(COUNTIFS(F$2:F143,F143,K$2:K143,"Sparse"))</f>
        <v>MD0</v>
      </c>
      <c r="B143" s="22" t="str">
        <f>J143&amp;(COUNTIF(J$2:J143,J143))</f>
        <v>Kirklees1</v>
      </c>
      <c r="C143" t="s">
        <v>232</v>
      </c>
      <c r="D143" t="s">
        <v>232</v>
      </c>
      <c r="E143" s="25" t="s">
        <v>383</v>
      </c>
      <c r="F143" s="25" t="s">
        <v>384</v>
      </c>
      <c r="G143" s="25" t="s">
        <v>395</v>
      </c>
      <c r="H143" s="26" t="s">
        <v>382</v>
      </c>
      <c r="I143" s="27" t="s">
        <v>382</v>
      </c>
      <c r="J143" t="s">
        <v>232</v>
      </c>
    </row>
    <row r="144" spans="1:11" ht="14.4">
      <c r="A144" s="22" t="str">
        <f>F144&amp;(COUNTIFS(F$2:F144,F144,K$2:K144,"Sparse"))</f>
        <v>MD0</v>
      </c>
      <c r="B144" s="22" t="str">
        <f>J144&amp;(COUNTIF(J$2:J144,J144))</f>
        <v>Knowsley1</v>
      </c>
      <c r="C144" t="s">
        <v>233</v>
      </c>
      <c r="D144" t="s">
        <v>233</v>
      </c>
      <c r="E144" s="25" t="s">
        <v>374</v>
      </c>
      <c r="F144" s="25" t="s">
        <v>384</v>
      </c>
      <c r="G144" s="25" t="s">
        <v>395</v>
      </c>
      <c r="H144" s="26" t="s">
        <v>382</v>
      </c>
      <c r="I144" s="27" t="s">
        <v>382</v>
      </c>
      <c r="J144" s="3" t="s">
        <v>233</v>
      </c>
    </row>
    <row r="145" spans="1:11" ht="14.4">
      <c r="A145" s="22" t="str">
        <f>F145&amp;(COUNTIFS(F$2:F145,F145,K$2:K145,"Sparse"))</f>
        <v>L0</v>
      </c>
      <c r="B145" s="22" t="str">
        <f>J145&amp;(COUNTIF(J$2:J145,J145))</f>
        <v>London22</v>
      </c>
      <c r="C145" t="s">
        <v>212</v>
      </c>
      <c r="D145" t="s">
        <v>212</v>
      </c>
      <c r="E145" s="25" t="s">
        <v>381</v>
      </c>
      <c r="F145" s="25" t="s">
        <v>358</v>
      </c>
      <c r="G145" s="25" t="s">
        <v>381</v>
      </c>
      <c r="H145" s="26" t="s">
        <v>382</v>
      </c>
      <c r="I145" s="27" t="s">
        <v>382</v>
      </c>
      <c r="J145" t="s">
        <v>381</v>
      </c>
    </row>
    <row r="146" spans="1:11" ht="14.4">
      <c r="A146" s="22" t="str">
        <f>F146&amp;(COUNTIFS(F$2:F146,F146,K$2:K146,"Sparse"))</f>
        <v>SC3</v>
      </c>
      <c r="B146" s="22" t="str">
        <f>J146&amp;(COUNTIF(J$2:J146,J146))</f>
        <v>Lancashire5</v>
      </c>
      <c r="C146" t="s">
        <v>316</v>
      </c>
      <c r="D146" t="s">
        <v>316</v>
      </c>
      <c r="E146" s="25" t="s">
        <v>374</v>
      </c>
      <c r="F146" s="25" t="s">
        <v>387</v>
      </c>
      <c r="G146" s="25" t="s">
        <v>301</v>
      </c>
      <c r="H146" s="26" t="s">
        <v>892</v>
      </c>
      <c r="I146" s="27" t="s">
        <v>892</v>
      </c>
      <c r="J146" t="s">
        <v>316</v>
      </c>
      <c r="K146" t="s">
        <v>335</v>
      </c>
    </row>
    <row r="147" spans="1:11" ht="14.4">
      <c r="A147" s="22" t="str">
        <f>F147&amp;(COUNTIFS(F$2:F147,F147,K$2:K147,"Sparse"))</f>
        <v>SD13</v>
      </c>
      <c r="B147" s="22" t="str">
        <f>J147&amp;(COUNTIF(J$2:J147,J147))</f>
        <v>Lancashire6</v>
      </c>
      <c r="C147" t="s">
        <v>92</v>
      </c>
      <c r="D147" t="s">
        <v>92</v>
      </c>
      <c r="E147" s="25" t="s">
        <v>374</v>
      </c>
      <c r="F147" s="25" t="s">
        <v>379</v>
      </c>
      <c r="G147" s="25" t="s">
        <v>5</v>
      </c>
      <c r="H147" s="26" t="s">
        <v>892</v>
      </c>
      <c r="I147" s="27" t="s">
        <v>892</v>
      </c>
      <c r="J147" t="s">
        <v>316</v>
      </c>
    </row>
    <row r="148" spans="1:11" ht="14.4">
      <c r="A148" s="22" t="str">
        <f>F148&amp;(COUNTIFS(F$2:F148,F148,K$2:K148,"Sparse"))</f>
        <v>MD0</v>
      </c>
      <c r="B148" s="22" t="str">
        <f>J148&amp;(COUNTIF(J$2:J148,J148))</f>
        <v>Leeds1</v>
      </c>
      <c r="C148" t="s">
        <v>234</v>
      </c>
      <c r="D148" t="s">
        <v>234</v>
      </c>
      <c r="E148" s="25" t="s">
        <v>383</v>
      </c>
      <c r="F148" s="25" t="s">
        <v>384</v>
      </c>
      <c r="G148" s="25" t="s">
        <v>395</v>
      </c>
      <c r="H148" s="26" t="s">
        <v>382</v>
      </c>
      <c r="I148" s="27" t="s">
        <v>382</v>
      </c>
      <c r="J148" t="s">
        <v>234</v>
      </c>
    </row>
    <row r="149" spans="1:11" ht="14.4">
      <c r="A149" s="22" t="str">
        <f>F149&amp;(COUNTIFS(F$2:F149,F149,K$2:K149,"Sparse"))</f>
        <v>UA7</v>
      </c>
      <c r="B149" s="22" t="str">
        <f>J149&amp;(COUNTIF(J$2:J149,J149))</f>
        <v>Unitary25</v>
      </c>
      <c r="C149" s="27" t="s">
        <v>271</v>
      </c>
      <c r="D149" s="27" t="s">
        <v>271</v>
      </c>
      <c r="E149" s="25" t="s">
        <v>366</v>
      </c>
      <c r="F149" s="25" t="s">
        <v>385</v>
      </c>
      <c r="G149" s="25" t="s">
        <v>394</v>
      </c>
      <c r="H149" s="27" t="s">
        <v>382</v>
      </c>
      <c r="I149" s="27" t="s">
        <v>382</v>
      </c>
      <c r="J149" t="s">
        <v>394</v>
      </c>
    </row>
    <row r="150" spans="1:11" ht="14.4">
      <c r="A150" s="22" t="str">
        <f>F150&amp;(COUNTIFS(F$2:F150,F150,K$2:K150,"Sparse"))</f>
        <v>SC3</v>
      </c>
      <c r="B150" s="22" t="str">
        <f>J150&amp;(COUNTIF(J$2:J150,J150))</f>
        <v>Leicestershire5</v>
      </c>
      <c r="C150" t="s">
        <v>317</v>
      </c>
      <c r="D150" t="s">
        <v>317</v>
      </c>
      <c r="E150" s="25" t="s">
        <v>366</v>
      </c>
      <c r="F150" s="25" t="s">
        <v>387</v>
      </c>
      <c r="G150" s="25" t="s">
        <v>301</v>
      </c>
      <c r="H150" s="26" t="s">
        <v>892</v>
      </c>
      <c r="I150" s="27" t="s">
        <v>892</v>
      </c>
      <c r="J150" t="s">
        <v>317</v>
      </c>
    </row>
    <row r="151" spans="1:11" ht="14.4">
      <c r="A151" s="22" t="str">
        <f>F151&amp;(COUNTIFS(F$2:F151,F151,K$2:K151,"Sparse"))</f>
        <v>SD14</v>
      </c>
      <c r="B151" s="22" t="str">
        <f>J151&amp;(COUNTIF(J$2:J151,J151))</f>
        <v>East Sussex4</v>
      </c>
      <c r="C151" t="s">
        <v>93</v>
      </c>
      <c r="D151" t="s">
        <v>93</v>
      </c>
      <c r="E151" s="25" t="s">
        <v>0</v>
      </c>
      <c r="F151" s="25" t="s">
        <v>379</v>
      </c>
      <c r="G151" s="25" t="s">
        <v>5</v>
      </c>
      <c r="H151" s="26" t="s">
        <v>892</v>
      </c>
      <c r="I151" s="27" t="s">
        <v>892</v>
      </c>
      <c r="J151" t="s">
        <v>310</v>
      </c>
      <c r="K151" t="s">
        <v>335</v>
      </c>
    </row>
    <row r="152" spans="1:11" ht="14.4">
      <c r="A152" s="22" t="str">
        <f>F152&amp;(COUNTIFS(F$2:F152,F152,K$2:K152,"Sparse"))</f>
        <v>L0</v>
      </c>
      <c r="B152" s="22" t="str">
        <f>J152&amp;(COUNTIF(J$2:J152,J152))</f>
        <v>London23</v>
      </c>
      <c r="C152" t="s">
        <v>213</v>
      </c>
      <c r="D152" t="s">
        <v>213</v>
      </c>
      <c r="E152" s="25" t="s">
        <v>381</v>
      </c>
      <c r="F152" s="25" t="s">
        <v>358</v>
      </c>
      <c r="G152" s="25" t="s">
        <v>381</v>
      </c>
      <c r="H152" s="26" t="s">
        <v>382</v>
      </c>
      <c r="I152" s="27" t="s">
        <v>382</v>
      </c>
      <c r="J152" s="3" t="s">
        <v>381</v>
      </c>
    </row>
    <row r="153" spans="1:11" ht="14.4">
      <c r="A153" s="22" t="str">
        <f>F153&amp;(COUNTIFS(F$2:F153,F153,K$2:K153,"Sparse"))</f>
        <v>SD15</v>
      </c>
      <c r="B153" s="22" t="str">
        <f>J153&amp;(COUNTIF(J$2:J153,J153))</f>
        <v>Staffordshire3</v>
      </c>
      <c r="C153" s="27" t="s">
        <v>94</v>
      </c>
      <c r="D153" s="27" t="s">
        <v>94</v>
      </c>
      <c r="E153" s="25" t="s">
        <v>367</v>
      </c>
      <c r="F153" s="25" t="s">
        <v>379</v>
      </c>
      <c r="G153" s="25" t="s">
        <v>5</v>
      </c>
      <c r="H153" s="27" t="s">
        <v>892</v>
      </c>
      <c r="I153" s="27" t="s">
        <v>892</v>
      </c>
      <c r="J153" t="s">
        <v>327</v>
      </c>
      <c r="K153" t="s">
        <v>335</v>
      </c>
    </row>
    <row r="154" spans="1:11" ht="14.4">
      <c r="A154" s="22" t="str">
        <f>F154&amp;(COUNTIFS(F$2:F154,F154,K$2:K154,"Sparse"))</f>
        <v>SD15</v>
      </c>
      <c r="B154" s="22" t="str">
        <f>J154&amp;(COUNTIF(J$2:J154,J154))</f>
        <v>Lincolnshire3</v>
      </c>
      <c r="C154" t="s">
        <v>95</v>
      </c>
      <c r="D154" t="s">
        <v>95</v>
      </c>
      <c r="E154" s="25" t="s">
        <v>366</v>
      </c>
      <c r="F154" s="25" t="s">
        <v>379</v>
      </c>
      <c r="G154" s="25" t="s">
        <v>5</v>
      </c>
      <c r="H154" s="26" t="s">
        <v>382</v>
      </c>
      <c r="I154" s="27" t="s">
        <v>382</v>
      </c>
      <c r="J154" t="s">
        <v>318</v>
      </c>
    </row>
    <row r="155" spans="1:11" ht="14.4">
      <c r="A155" s="22" t="str">
        <f>F155&amp;(COUNTIFS(F$2:F155,F155,K$2:K155,"Sparse"))</f>
        <v>SC4</v>
      </c>
      <c r="B155" s="22" t="str">
        <f>J155&amp;(COUNTIF(J$2:J155,J155))</f>
        <v>Lincolnshire4</v>
      </c>
      <c r="C155" t="s">
        <v>318</v>
      </c>
      <c r="D155" t="s">
        <v>318</v>
      </c>
      <c r="E155" s="25" t="s">
        <v>366</v>
      </c>
      <c r="F155" s="25" t="s">
        <v>387</v>
      </c>
      <c r="G155" s="25" t="s">
        <v>301</v>
      </c>
      <c r="H155" s="26" t="s">
        <v>380</v>
      </c>
      <c r="I155" s="27" t="s">
        <v>380</v>
      </c>
      <c r="J155" t="s">
        <v>318</v>
      </c>
      <c r="K155" t="s">
        <v>335</v>
      </c>
    </row>
    <row r="156" spans="1:11" ht="14.4">
      <c r="A156" s="22" t="str">
        <f>F156&amp;(COUNTIFS(F$2:F156,F156,K$2:K156,"Sparse"))</f>
        <v>MD0</v>
      </c>
      <c r="B156" s="22" t="str">
        <f>J156&amp;(COUNTIF(J$2:J156,J156))</f>
        <v>Liverpool1</v>
      </c>
      <c r="C156" t="s">
        <v>235</v>
      </c>
      <c r="D156" t="s">
        <v>235</v>
      </c>
      <c r="E156" s="25" t="s">
        <v>374</v>
      </c>
      <c r="F156" s="25" t="s">
        <v>384</v>
      </c>
      <c r="G156" s="25" t="s">
        <v>395</v>
      </c>
      <c r="H156" s="26" t="s">
        <v>382</v>
      </c>
      <c r="I156" s="27" t="s">
        <v>382</v>
      </c>
      <c r="J156" t="s">
        <v>235</v>
      </c>
    </row>
    <row r="157" spans="1:11" ht="14.4">
      <c r="A157" s="22" t="str">
        <f>F157&amp;(COUNTIFS(F$2:F157,F157,K$2:K157,"Sparse"))</f>
        <v>UA7</v>
      </c>
      <c r="B157" s="22" t="str">
        <f>J157&amp;(COUNTIF(J$2:J157,J157))</f>
        <v>Unitary26</v>
      </c>
      <c r="C157" t="s">
        <v>272</v>
      </c>
      <c r="D157" t="s">
        <v>272</v>
      </c>
      <c r="E157" s="25" t="s">
        <v>368</v>
      </c>
      <c r="F157" s="25" t="s">
        <v>385</v>
      </c>
      <c r="G157" s="25" t="s">
        <v>394</v>
      </c>
      <c r="H157" s="26" t="s">
        <v>382</v>
      </c>
      <c r="I157" s="27" t="s">
        <v>382</v>
      </c>
      <c r="J157" t="s">
        <v>394</v>
      </c>
    </row>
    <row r="158" spans="1:11" ht="14.4">
      <c r="A158" s="22" t="str">
        <f>F158&amp;(COUNTIFS(F$2:F158,F158,K$2:K158,"Sparse"))</f>
        <v>SD15</v>
      </c>
      <c r="B158" s="22" t="str">
        <f>J158&amp;(COUNTIF(J$2:J158,J158))</f>
        <v>Kent8</v>
      </c>
      <c r="C158" s="27" t="s">
        <v>96</v>
      </c>
      <c r="D158" s="27" t="s">
        <v>96</v>
      </c>
      <c r="E158" s="25" t="s">
        <v>0</v>
      </c>
      <c r="F158" s="25" t="s">
        <v>379</v>
      </c>
      <c r="G158" s="25" t="s">
        <v>5</v>
      </c>
      <c r="H158" s="27" t="s">
        <v>892</v>
      </c>
      <c r="I158" s="27" t="s">
        <v>892</v>
      </c>
      <c r="J158" t="s">
        <v>315</v>
      </c>
    </row>
    <row r="159" spans="1:11" ht="14.4">
      <c r="A159" s="22" t="str">
        <f>F159&amp;(COUNTIFS(F$2:F159,F159,K$2:K159,"Sparse"))</f>
        <v>SD15</v>
      </c>
      <c r="B159" s="22" t="str">
        <f>J159&amp;(COUNTIF(J$2:J159,J159))</f>
        <v>Essex10</v>
      </c>
      <c r="C159" t="s">
        <v>97</v>
      </c>
      <c r="D159" t="s">
        <v>97</v>
      </c>
      <c r="E159" s="25" t="s">
        <v>368</v>
      </c>
      <c r="F159" s="25" t="s">
        <v>379</v>
      </c>
      <c r="G159" s="25" t="s">
        <v>5</v>
      </c>
      <c r="H159" s="26" t="s">
        <v>891</v>
      </c>
      <c r="I159" s="27" t="s">
        <v>380</v>
      </c>
      <c r="J159" t="s">
        <v>311</v>
      </c>
    </row>
    <row r="160" spans="1:11" ht="14.4">
      <c r="A160" s="22" t="str">
        <f>F160&amp;(COUNTIFS(F$2:F160,F160,K$2:K160,"Sparse"))</f>
        <v>SD16</v>
      </c>
      <c r="B160" s="22" t="str">
        <f>J160&amp;(COUNTIF(J$2:J160,J160))</f>
        <v>Worcestershire2</v>
      </c>
      <c r="C160" t="s">
        <v>98</v>
      </c>
      <c r="D160" t="s">
        <v>98</v>
      </c>
      <c r="E160" s="25" t="s">
        <v>367</v>
      </c>
      <c r="F160" s="25" t="s">
        <v>379</v>
      </c>
      <c r="G160" s="25" t="s">
        <v>5</v>
      </c>
      <c r="H160" s="26" t="s">
        <v>891</v>
      </c>
      <c r="I160" s="27" t="s">
        <v>380</v>
      </c>
      <c r="J160" s="3" t="s">
        <v>332</v>
      </c>
      <c r="K160" t="s">
        <v>335</v>
      </c>
    </row>
    <row r="161" spans="1:11" ht="14.4">
      <c r="A161" s="22" t="str">
        <f>F161&amp;(COUNTIFS(F$2:F161,F161,K$2:K161,"Sparse"))</f>
        <v>MD0</v>
      </c>
      <c r="B161" s="22" t="str">
        <f>J161&amp;(COUNTIF(J$2:J161,J161))</f>
        <v>Manchester1</v>
      </c>
      <c r="C161" t="s">
        <v>236</v>
      </c>
      <c r="D161" t="s">
        <v>236</v>
      </c>
      <c r="E161" s="25" t="s">
        <v>374</v>
      </c>
      <c r="F161" s="25" t="s">
        <v>384</v>
      </c>
      <c r="G161" s="25" t="s">
        <v>395</v>
      </c>
      <c r="H161" s="26" t="s">
        <v>382</v>
      </c>
      <c r="I161" s="27" t="s">
        <v>382</v>
      </c>
      <c r="J161" t="s">
        <v>236</v>
      </c>
    </row>
    <row r="162" spans="1:11" ht="14.4">
      <c r="A162" s="22" t="str">
        <f>F162&amp;(COUNTIFS(F$2:F162,F162,K$2:K162,"Sparse"))</f>
        <v>SD16</v>
      </c>
      <c r="B162" s="22" t="str">
        <f>J162&amp;(COUNTIF(J$2:J162,J162))</f>
        <v>Nottinghamshire5</v>
      </c>
      <c r="C162" t="s">
        <v>99</v>
      </c>
      <c r="D162" t="s">
        <v>99</v>
      </c>
      <c r="E162" s="25" t="s">
        <v>366</v>
      </c>
      <c r="F162" s="25" t="s">
        <v>379</v>
      </c>
      <c r="G162" s="25" t="s">
        <v>5</v>
      </c>
      <c r="H162" s="26" t="s">
        <v>382</v>
      </c>
      <c r="I162" s="27" t="s">
        <v>382</v>
      </c>
      <c r="J162" t="s">
        <v>323</v>
      </c>
    </row>
    <row r="163" spans="1:11" ht="14.4">
      <c r="A163" s="22" t="str">
        <f>F163&amp;(COUNTIFS(F$2:F163,F163,K$2:K163,"Sparse"))</f>
        <v>UA7</v>
      </c>
      <c r="B163" s="22" t="str">
        <f>J163&amp;(COUNTIF(J$2:J163,J163))</f>
        <v>Unitary27</v>
      </c>
      <c r="C163" t="s">
        <v>273</v>
      </c>
      <c r="D163" t="s">
        <v>273</v>
      </c>
      <c r="E163" s="25" t="s">
        <v>0</v>
      </c>
      <c r="F163" s="25" t="s">
        <v>385</v>
      </c>
      <c r="G163" s="25" t="s">
        <v>394</v>
      </c>
      <c r="H163" s="26" t="s">
        <v>382</v>
      </c>
      <c r="I163" s="27" t="s">
        <v>382</v>
      </c>
      <c r="J163" t="s">
        <v>394</v>
      </c>
    </row>
    <row r="164" spans="1:11" ht="14.4">
      <c r="A164" s="22" t="str">
        <f>F164&amp;(COUNTIFS(F$2:F164,F164,K$2:K164,"Sparse"))</f>
        <v>SD17</v>
      </c>
      <c r="B164" s="22" t="str">
        <f>J164&amp;(COUNTIF(J$2:J164,J164))</f>
        <v>Leicestershire6</v>
      </c>
      <c r="C164" t="s">
        <v>100</v>
      </c>
      <c r="D164" t="s">
        <v>100</v>
      </c>
      <c r="E164" s="25" t="s">
        <v>366</v>
      </c>
      <c r="F164" s="25" t="s">
        <v>379</v>
      </c>
      <c r="G164" s="25" t="s">
        <v>5</v>
      </c>
      <c r="H164" s="26" t="s">
        <v>891</v>
      </c>
      <c r="I164" s="27" t="s">
        <v>380</v>
      </c>
      <c r="J164" t="s">
        <v>317</v>
      </c>
      <c r="K164" t="s">
        <v>335</v>
      </c>
    </row>
    <row r="165" spans="1:11" ht="14.4">
      <c r="A165" s="22" t="str">
        <f>F165&amp;(COUNTIFS(F$2:F165,F165,K$2:K165,"Sparse"))</f>
        <v>L0</v>
      </c>
      <c r="B165" s="22" t="str">
        <f>J165&amp;(COUNTIF(J$2:J165,J165))</f>
        <v>London24</v>
      </c>
      <c r="C165" t="s">
        <v>214</v>
      </c>
      <c r="D165" t="s">
        <v>214</v>
      </c>
      <c r="E165" s="25" t="s">
        <v>381</v>
      </c>
      <c r="F165" s="25" t="s">
        <v>358</v>
      </c>
      <c r="G165" s="25" t="s">
        <v>381</v>
      </c>
      <c r="H165" s="26" t="s">
        <v>382</v>
      </c>
      <c r="I165" s="27" t="s">
        <v>382</v>
      </c>
      <c r="J165" s="3" t="s">
        <v>381</v>
      </c>
    </row>
    <row r="166" spans="1:11" ht="14.4">
      <c r="A166" s="22" t="str">
        <f>F166&amp;(COUNTIFS(F$2:F166,F166,K$2:K166,"Sparse"))</f>
        <v>SD18</v>
      </c>
      <c r="B166" s="22" t="str">
        <f>J166&amp;(COUNTIF(J$2:J166,J166))</f>
        <v>Devon4</v>
      </c>
      <c r="C166" t="s">
        <v>102</v>
      </c>
      <c r="D166" t="s">
        <v>102</v>
      </c>
      <c r="E166" s="25" t="s">
        <v>1</v>
      </c>
      <c r="F166" s="25" t="s">
        <v>379</v>
      </c>
      <c r="G166" s="25" t="s">
        <v>5</v>
      </c>
      <c r="H166" s="26" t="s">
        <v>891</v>
      </c>
      <c r="I166" s="27" t="s">
        <v>380</v>
      </c>
      <c r="J166" t="s">
        <v>308</v>
      </c>
      <c r="K166" t="s">
        <v>335</v>
      </c>
    </row>
    <row r="167" spans="1:11" ht="14.4">
      <c r="A167" s="22" t="str">
        <f>F167&amp;(COUNTIFS(F$2:F167,F167,K$2:K167,"Sparse"))</f>
        <v>SD19</v>
      </c>
      <c r="B167" s="22" t="str">
        <f>J167&amp;(COUNTIF(J$2:J167,J167))</f>
        <v>Suffolk4</v>
      </c>
      <c r="C167" t="s">
        <v>103</v>
      </c>
      <c r="D167" t="s">
        <v>103</v>
      </c>
      <c r="E167" s="25" t="s">
        <v>368</v>
      </c>
      <c r="F167" s="25" t="s">
        <v>379</v>
      </c>
      <c r="G167" s="25" t="s">
        <v>5</v>
      </c>
      <c r="H167" s="26" t="s">
        <v>891</v>
      </c>
      <c r="I167" s="27" t="s">
        <v>380</v>
      </c>
      <c r="J167" t="s">
        <v>328</v>
      </c>
      <c r="K167" t="s">
        <v>335</v>
      </c>
    </row>
    <row r="168" spans="1:11" ht="14.4">
      <c r="A168" s="22" t="str">
        <f>F168&amp;(COUNTIFS(F$2:F168,F168,K$2:K168,"Sparse"))</f>
        <v>SD19</v>
      </c>
      <c r="B168" s="22" t="str">
        <f>J168&amp;(COUNTIF(J$2:J168,J168))</f>
        <v>West Sussex6</v>
      </c>
      <c r="C168" t="s">
        <v>104</v>
      </c>
      <c r="D168" t="s">
        <v>104</v>
      </c>
      <c r="E168" s="25" t="s">
        <v>0</v>
      </c>
      <c r="F168" s="25" t="s">
        <v>379</v>
      </c>
      <c r="G168" s="25" t="s">
        <v>5</v>
      </c>
      <c r="H168" s="26" t="s">
        <v>382</v>
      </c>
      <c r="I168" s="27" t="s">
        <v>382</v>
      </c>
      <c r="J168" t="s">
        <v>331</v>
      </c>
    </row>
    <row r="169" spans="1:11" ht="14.4">
      <c r="A169" s="22" t="str">
        <f>F169&amp;(COUNTIFS(F$2:F169,F169,K$2:K169,"Sparse"))</f>
        <v>UA7</v>
      </c>
      <c r="B169" s="22" t="str">
        <f>J169&amp;(COUNTIF(J$2:J169,J169))</f>
        <v>Unitary28</v>
      </c>
      <c r="C169" t="s">
        <v>274</v>
      </c>
      <c r="D169" t="s">
        <v>274</v>
      </c>
      <c r="E169" s="25" t="s">
        <v>388</v>
      </c>
      <c r="F169" s="25" t="s">
        <v>385</v>
      </c>
      <c r="G169" s="25" t="s">
        <v>394</v>
      </c>
      <c r="H169" s="26" t="s">
        <v>382</v>
      </c>
      <c r="I169" s="27" t="s">
        <v>382</v>
      </c>
      <c r="J169" t="s">
        <v>394</v>
      </c>
    </row>
    <row r="170" spans="1:11" ht="14.4">
      <c r="A170" s="22" t="str">
        <f>F170&amp;(COUNTIFS(F$2:F170,F170,K$2:K170,"Sparse"))</f>
        <v>UA7</v>
      </c>
      <c r="B170" s="22" t="str">
        <f>J170&amp;(COUNTIF(J$2:J170,J170))</f>
        <v>Unitary29</v>
      </c>
      <c r="C170" t="s">
        <v>275</v>
      </c>
      <c r="D170" t="s">
        <v>275</v>
      </c>
      <c r="E170" s="25" t="s">
        <v>0</v>
      </c>
      <c r="F170" s="25" t="s">
        <v>385</v>
      </c>
      <c r="G170" s="25" t="s">
        <v>394</v>
      </c>
      <c r="H170" s="26" t="s">
        <v>382</v>
      </c>
      <c r="I170" s="27" t="s">
        <v>382</v>
      </c>
      <c r="J170" t="s">
        <v>394</v>
      </c>
    </row>
    <row r="171" spans="1:11" ht="14.4">
      <c r="A171" s="22" t="str">
        <f>F171&amp;(COUNTIFS(F$2:F171,F171,K$2:K171,"Sparse"))</f>
        <v>SD19</v>
      </c>
      <c r="B171" s="22" t="str">
        <f>J171&amp;(COUNTIF(J$2:J171,J171))</f>
        <v>Surrey4</v>
      </c>
      <c r="C171" t="s">
        <v>105</v>
      </c>
      <c r="D171" t="s">
        <v>105</v>
      </c>
      <c r="E171" s="25" t="s">
        <v>0</v>
      </c>
      <c r="F171" s="25" t="s">
        <v>379</v>
      </c>
      <c r="G171" s="25" t="s">
        <v>5</v>
      </c>
      <c r="H171" s="26" t="s">
        <v>892</v>
      </c>
      <c r="I171" s="27" t="s">
        <v>892</v>
      </c>
      <c r="J171" t="s">
        <v>329</v>
      </c>
    </row>
    <row r="172" spans="1:11" ht="14.4">
      <c r="A172" s="22" t="str">
        <f>F172&amp;(COUNTIFS(F$2:F172,F172,K$2:K172,"Sparse"))</f>
        <v>SD20</v>
      </c>
      <c r="B172" s="22" t="str">
        <f>J172&amp;(COUNTIF(J$2:J172,J172))</f>
        <v>Hampshire9</v>
      </c>
      <c r="C172" t="s">
        <v>106</v>
      </c>
      <c r="D172" t="s">
        <v>106</v>
      </c>
      <c r="E172" s="25" t="s">
        <v>0</v>
      </c>
      <c r="F172" s="25" t="s">
        <v>379</v>
      </c>
      <c r="G172" s="25" t="s">
        <v>5</v>
      </c>
      <c r="H172" s="26" t="s">
        <v>892</v>
      </c>
      <c r="I172" s="27" t="s">
        <v>892</v>
      </c>
      <c r="J172" s="3" t="s">
        <v>313</v>
      </c>
      <c r="K172" t="s">
        <v>335</v>
      </c>
    </row>
    <row r="173" spans="1:11" ht="14.4">
      <c r="A173" s="22" t="str">
        <f>F173&amp;(COUNTIFS(F$2:F173,F173,K$2:K173,"Sparse"))</f>
        <v>SD20</v>
      </c>
      <c r="B173" s="22" t="str">
        <f>J173&amp;(COUNTIF(J$2:J173,J173))</f>
        <v>Nottinghamshire6</v>
      </c>
      <c r="C173" t="s">
        <v>345</v>
      </c>
      <c r="D173" t="s">
        <v>345</v>
      </c>
      <c r="E173" s="25" t="s">
        <v>366</v>
      </c>
      <c r="F173" s="25" t="s">
        <v>379</v>
      </c>
      <c r="G173" s="25" t="s">
        <v>5</v>
      </c>
      <c r="H173" s="26" t="s">
        <v>891</v>
      </c>
      <c r="I173" s="27" t="s">
        <v>380</v>
      </c>
      <c r="J173" s="3" t="s">
        <v>323</v>
      </c>
    </row>
    <row r="174" spans="1:11" ht="14.4">
      <c r="A174" s="22" t="str">
        <f>F174&amp;(COUNTIFS(F$2:F174,F174,K$2:K174,"Sparse"))</f>
        <v>MD0</v>
      </c>
      <c r="B174" s="22" t="str">
        <f>J174&amp;(COUNTIF(J$2:J174,J174))</f>
        <v>Newcastle upon Tyne1</v>
      </c>
      <c r="C174" t="s">
        <v>237</v>
      </c>
      <c r="D174" t="s">
        <v>237</v>
      </c>
      <c r="E174" s="25" t="s">
        <v>388</v>
      </c>
      <c r="F174" s="25" t="s">
        <v>384</v>
      </c>
      <c r="G174" s="25" t="s">
        <v>395</v>
      </c>
      <c r="H174" s="26" t="s">
        <v>382</v>
      </c>
      <c r="I174" s="27" t="s">
        <v>382</v>
      </c>
      <c r="J174" t="s">
        <v>237</v>
      </c>
    </row>
    <row r="175" spans="1:11" ht="14.4">
      <c r="A175" s="22" t="str">
        <f>F175&amp;(COUNTIFS(F$2:F175,F175,K$2:K175,"Sparse"))</f>
        <v>SD20</v>
      </c>
      <c r="B175" s="22" t="str">
        <f>J175&amp;(COUNTIF(J$2:J175,J175))</f>
        <v>Staffordshire4</v>
      </c>
      <c r="C175" t="s">
        <v>107</v>
      </c>
      <c r="D175" t="s">
        <v>107</v>
      </c>
      <c r="E175" s="25" t="s">
        <v>367</v>
      </c>
      <c r="F175" s="25" t="s">
        <v>379</v>
      </c>
      <c r="G175" s="25" t="s">
        <v>5</v>
      </c>
      <c r="H175" s="26" t="s">
        <v>382</v>
      </c>
      <c r="I175" s="27" t="s">
        <v>382</v>
      </c>
      <c r="J175" t="s">
        <v>327</v>
      </c>
    </row>
    <row r="176" spans="1:11" ht="14.4">
      <c r="A176" s="22" t="str">
        <f>F176&amp;(COUNTIFS(F$2:F176,F176,K$2:K176,"Sparse"))</f>
        <v>L0</v>
      </c>
      <c r="B176" s="22" t="str">
        <f>J176&amp;(COUNTIF(J$2:J176,J176))</f>
        <v>London25</v>
      </c>
      <c r="C176" t="s">
        <v>215</v>
      </c>
      <c r="D176" t="s">
        <v>215</v>
      </c>
      <c r="E176" s="25" t="s">
        <v>381</v>
      </c>
      <c r="F176" s="25" t="s">
        <v>358</v>
      </c>
      <c r="G176" s="25" t="s">
        <v>381</v>
      </c>
      <c r="H176" s="26" t="s">
        <v>382</v>
      </c>
      <c r="I176" s="27" t="s">
        <v>382</v>
      </c>
      <c r="J176" t="s">
        <v>381</v>
      </c>
    </row>
    <row r="177" spans="1:11" ht="14.4">
      <c r="A177" s="22" t="str">
        <f>F177&amp;(COUNTIFS(F$2:F177,F177,K$2:K177,"Sparse"))</f>
        <v>SC5</v>
      </c>
      <c r="B177" s="22" t="str">
        <f>J177&amp;(COUNTIF(J$2:J177,J177))</f>
        <v>Norfolk5</v>
      </c>
      <c r="C177" t="s">
        <v>319</v>
      </c>
      <c r="D177" t="s">
        <v>319</v>
      </c>
      <c r="E177" s="25" t="s">
        <v>368</v>
      </c>
      <c r="F177" s="25" t="s">
        <v>387</v>
      </c>
      <c r="G177" s="25" t="s">
        <v>301</v>
      </c>
      <c r="H177" s="26" t="s">
        <v>380</v>
      </c>
      <c r="I177" s="27" t="s">
        <v>380</v>
      </c>
      <c r="J177" t="s">
        <v>319</v>
      </c>
      <c r="K177" t="s">
        <v>335</v>
      </c>
    </row>
    <row r="178" spans="1:11" ht="14.4">
      <c r="A178" s="22" t="str">
        <f>F178&amp;(COUNTIFS(F$2:F178,F178,K$2:K178,"Sparse"))</f>
        <v>SD21</v>
      </c>
      <c r="B178" s="22" t="str">
        <f>J178&amp;(COUNTIF(J$2:J178,J178))</f>
        <v>Devon5</v>
      </c>
      <c r="C178" t="s">
        <v>108</v>
      </c>
      <c r="D178" t="s">
        <v>108</v>
      </c>
      <c r="E178" s="25" t="s">
        <v>1</v>
      </c>
      <c r="F178" s="25" t="s">
        <v>379</v>
      </c>
      <c r="G178" s="25" t="s">
        <v>5</v>
      </c>
      <c r="H178" s="26" t="s">
        <v>891</v>
      </c>
      <c r="I178" s="27" t="s">
        <v>380</v>
      </c>
      <c r="J178" t="s">
        <v>308</v>
      </c>
      <c r="K178" t="s">
        <v>335</v>
      </c>
    </row>
    <row r="179" spans="1:11" ht="14.4">
      <c r="A179" s="22" t="str">
        <f>F179&amp;(COUNTIFS(F$2:F179,F179,K$2:K179,"Sparse"))</f>
        <v>SD21</v>
      </c>
      <c r="B179" s="22" t="str">
        <f>J179&amp;(COUNTIF(J$2:J179,J179))</f>
        <v>Derbyshire8</v>
      </c>
      <c r="C179" t="s">
        <v>110</v>
      </c>
      <c r="D179" t="s">
        <v>110</v>
      </c>
      <c r="E179" s="25" t="s">
        <v>366</v>
      </c>
      <c r="F179" s="25" t="s">
        <v>379</v>
      </c>
      <c r="G179" s="25" t="s">
        <v>5</v>
      </c>
      <c r="H179" s="26" t="s">
        <v>382</v>
      </c>
      <c r="I179" s="27" t="s">
        <v>382</v>
      </c>
      <c r="J179" t="s">
        <v>307</v>
      </c>
    </row>
    <row r="180" spans="1:11" ht="14.4">
      <c r="A180" s="22" t="str">
        <f>F180&amp;(COUNTIFS(F$2:F180,F180,K$2:K180,"Sparse"))</f>
        <v>UA7</v>
      </c>
      <c r="B180" s="22" t="str">
        <f>J180&amp;(COUNTIF(J$2:J180,J180))</f>
        <v>Unitary30</v>
      </c>
      <c r="C180" s="30" t="s">
        <v>276</v>
      </c>
      <c r="D180" s="30" t="s">
        <v>276</v>
      </c>
      <c r="E180" s="25" t="s">
        <v>383</v>
      </c>
      <c r="F180" s="25" t="s">
        <v>385</v>
      </c>
      <c r="G180" s="25" t="s">
        <v>394</v>
      </c>
      <c r="H180" s="30" t="s">
        <v>382</v>
      </c>
      <c r="I180" s="27" t="s">
        <v>382</v>
      </c>
      <c r="J180" t="s">
        <v>394</v>
      </c>
    </row>
    <row r="181" spans="1:11" ht="14.4">
      <c r="A181" s="22" t="str">
        <f>F181&amp;(COUNTIFS(F$2:F181,F181,K$2:K181,"Sparse"))</f>
        <v>SD21</v>
      </c>
      <c r="B181" s="22" t="str">
        <f>J181&amp;(COUNTIF(J$2:J181,J181))</f>
        <v>Hertfordshire6</v>
      </c>
      <c r="C181" t="s">
        <v>111</v>
      </c>
      <c r="D181" t="s">
        <v>111</v>
      </c>
      <c r="E181" s="25" t="s">
        <v>368</v>
      </c>
      <c r="F181" s="25" t="s">
        <v>379</v>
      </c>
      <c r="G181" s="25" t="s">
        <v>5</v>
      </c>
      <c r="H181" s="26" t="s">
        <v>892</v>
      </c>
      <c r="I181" s="27" t="s">
        <v>892</v>
      </c>
      <c r="J181" t="s">
        <v>314</v>
      </c>
    </row>
    <row r="182" spans="1:11" ht="14.4">
      <c r="A182" s="22" t="str">
        <f>F182&amp;(COUNTIFS(F$2:F182,F182,K$2:K182,"Sparse"))</f>
        <v>SD22</v>
      </c>
      <c r="B182" s="22" t="str">
        <f>J182&amp;(COUNTIF(J$2:J182,J182))</f>
        <v>Lincolnshire5</v>
      </c>
      <c r="C182" t="s">
        <v>112</v>
      </c>
      <c r="D182" t="s">
        <v>112</v>
      </c>
      <c r="E182" s="25" t="s">
        <v>366</v>
      </c>
      <c r="F182" s="25" t="s">
        <v>379</v>
      </c>
      <c r="G182" s="25" t="s">
        <v>5</v>
      </c>
      <c r="H182" s="26" t="s">
        <v>891</v>
      </c>
      <c r="I182" s="27" t="s">
        <v>380</v>
      </c>
      <c r="J182" t="s">
        <v>318</v>
      </c>
      <c r="K182" t="s">
        <v>335</v>
      </c>
    </row>
    <row r="183" spans="1:11" ht="14.4">
      <c r="A183" s="22" t="str">
        <f>F183&amp;(COUNTIFS(F$2:F183,F183,K$2:K183,"Sparse"))</f>
        <v>UA8</v>
      </c>
      <c r="B183" s="22" t="str">
        <f>J183&amp;(COUNTIF(J$2:J183,J183))</f>
        <v>Unitary31</v>
      </c>
      <c r="C183" t="s">
        <v>277</v>
      </c>
      <c r="D183" t="s">
        <v>277</v>
      </c>
      <c r="E183" s="25" t="s">
        <v>383</v>
      </c>
      <c r="F183" s="25" t="s">
        <v>385</v>
      </c>
      <c r="G183" s="25" t="s">
        <v>394</v>
      </c>
      <c r="H183" s="26" t="s">
        <v>892</v>
      </c>
      <c r="I183" s="27" t="s">
        <v>892</v>
      </c>
      <c r="J183" s="3" t="s">
        <v>394</v>
      </c>
      <c r="K183" t="s">
        <v>335</v>
      </c>
    </row>
    <row r="184" spans="1:11" ht="14.4">
      <c r="A184" s="22" t="str">
        <f>F184&amp;(COUNTIFS(F$2:F184,F184,K$2:K184,"Sparse"))</f>
        <v>SD23</v>
      </c>
      <c r="B184" s="22" t="str">
        <f>J184&amp;(COUNTIF(J$2:J184,J184))</f>
        <v>Norfolk6</v>
      </c>
      <c r="C184" t="s">
        <v>113</v>
      </c>
      <c r="D184" t="s">
        <v>113</v>
      </c>
      <c r="E184" s="25" t="s">
        <v>368</v>
      </c>
      <c r="F184" s="25" t="s">
        <v>379</v>
      </c>
      <c r="G184" s="25" t="s">
        <v>5</v>
      </c>
      <c r="H184" s="26" t="s">
        <v>891</v>
      </c>
      <c r="I184" s="27" t="s">
        <v>380</v>
      </c>
      <c r="J184" t="s">
        <v>319</v>
      </c>
      <c r="K184" t="s">
        <v>335</v>
      </c>
    </row>
    <row r="185" spans="1:11" ht="14.4">
      <c r="A185" s="22" t="str">
        <f>F185&amp;(COUNTIFS(F$2:F185,F185,K$2:K185,"Sparse"))</f>
        <v>UA8</v>
      </c>
      <c r="B185" s="22" t="str">
        <f>J185&amp;(COUNTIF(J$2:J185,J185))</f>
        <v>Unitary32</v>
      </c>
      <c r="C185" t="s">
        <v>897</v>
      </c>
      <c r="D185" t="s">
        <v>897</v>
      </c>
      <c r="E185" s="25" t="s">
        <v>366</v>
      </c>
      <c r="F185" s="25" t="s">
        <v>385</v>
      </c>
      <c r="G185" s="25" t="s">
        <v>394</v>
      </c>
      <c r="H185" s="26" t="s">
        <v>892</v>
      </c>
      <c r="I185" s="27" t="s">
        <v>892</v>
      </c>
      <c r="J185" t="s">
        <v>394</v>
      </c>
    </row>
    <row r="186" spans="1:11" ht="14.4">
      <c r="A186" s="22" t="str">
        <f>F186&amp;(COUNTIFS(F$2:F186,F186,K$2:K186,"Sparse"))</f>
        <v>UA9</v>
      </c>
      <c r="B186" s="22" t="str">
        <f>J186&amp;(COUNTIF(J$2:J186,J186))</f>
        <v>Unitary33</v>
      </c>
      <c r="C186" t="s">
        <v>278</v>
      </c>
      <c r="D186" t="s">
        <v>278</v>
      </c>
      <c r="E186" s="25" t="s">
        <v>1</v>
      </c>
      <c r="F186" s="25" t="s">
        <v>385</v>
      </c>
      <c r="G186" s="25" t="s">
        <v>394</v>
      </c>
      <c r="H186" s="26" t="s">
        <v>892</v>
      </c>
      <c r="I186" s="27" t="s">
        <v>892</v>
      </c>
      <c r="J186" s="3" t="s">
        <v>394</v>
      </c>
      <c r="K186" t="s">
        <v>335</v>
      </c>
    </row>
    <row r="187" spans="1:11" ht="14.4">
      <c r="A187" s="22" t="str">
        <f>F187&amp;(COUNTIFS(F$2:F187,F187,K$2:K187,"Sparse"))</f>
        <v>MD0</v>
      </c>
      <c r="B187" s="22" t="str">
        <f>J187&amp;(COUNTIF(J$2:J187,J187))</f>
        <v>North Tyneside1</v>
      </c>
      <c r="C187" t="s">
        <v>238</v>
      </c>
      <c r="D187" t="s">
        <v>238</v>
      </c>
      <c r="E187" s="25" t="s">
        <v>388</v>
      </c>
      <c r="F187" s="25" t="s">
        <v>384</v>
      </c>
      <c r="G187" s="25" t="s">
        <v>395</v>
      </c>
      <c r="H187" s="26" t="s">
        <v>382</v>
      </c>
      <c r="I187" s="27" t="s">
        <v>382</v>
      </c>
      <c r="J187" s="3" t="s">
        <v>238</v>
      </c>
    </row>
    <row r="188" spans="1:11" ht="14.4">
      <c r="A188" s="22" t="str">
        <f>F188&amp;(COUNTIFS(F$2:F188,F188,K$2:K188,"Sparse"))</f>
        <v>SD23</v>
      </c>
      <c r="B188" s="22" t="str">
        <f>J188&amp;(COUNTIF(J$2:J188,J188))</f>
        <v>Warwickshire1</v>
      </c>
      <c r="C188" t="s">
        <v>114</v>
      </c>
      <c r="D188" t="s">
        <v>114</v>
      </c>
      <c r="E188" s="25" t="s">
        <v>367</v>
      </c>
      <c r="F188" s="25" t="s">
        <v>379</v>
      </c>
      <c r="G188" s="25" t="s">
        <v>5</v>
      </c>
      <c r="H188" s="26" t="s">
        <v>891</v>
      </c>
      <c r="I188" s="27" t="s">
        <v>380</v>
      </c>
      <c r="J188" s="3" t="s">
        <v>330</v>
      </c>
    </row>
    <row r="189" spans="1:11" ht="14.4">
      <c r="A189" s="22" t="str">
        <f>F189&amp;(COUNTIFS(F$2:F189,F189,K$2:K189,"Sparse"))</f>
        <v>SD23</v>
      </c>
      <c r="B189" s="22" t="str">
        <f>J189&amp;(COUNTIF(J$2:J189,J189))</f>
        <v>Leicestershire7</v>
      </c>
      <c r="C189" t="s">
        <v>115</v>
      </c>
      <c r="D189" t="s">
        <v>115</v>
      </c>
      <c r="E189" s="25" t="s">
        <v>366</v>
      </c>
      <c r="F189" s="25" t="s">
        <v>379</v>
      </c>
      <c r="G189" s="25" t="s">
        <v>5</v>
      </c>
      <c r="H189" s="26" t="s">
        <v>891</v>
      </c>
      <c r="I189" s="27" t="s">
        <v>380</v>
      </c>
      <c r="J189" t="s">
        <v>317</v>
      </c>
    </row>
    <row r="190" spans="1:11" ht="14.4">
      <c r="A190" s="22" t="str">
        <f>F190&amp;(COUNTIFS(F$2:F190,F190,K$2:K190,"Sparse"))</f>
        <v>UA10</v>
      </c>
      <c r="B190" s="22" t="str">
        <f>J190&amp;(COUNTIF(J$2:J190,J190))</f>
        <v>Unitary34</v>
      </c>
      <c r="C190" t="s">
        <v>320</v>
      </c>
      <c r="D190" t="s">
        <v>320</v>
      </c>
      <c r="E190" s="25" t="s">
        <v>383</v>
      </c>
      <c r="F190" s="25" t="s">
        <v>385</v>
      </c>
      <c r="G190" s="25" t="s">
        <v>394</v>
      </c>
      <c r="H190" s="26" t="s">
        <v>380</v>
      </c>
      <c r="I190" s="27" t="s">
        <v>380</v>
      </c>
      <c r="J190" t="s">
        <v>394</v>
      </c>
      <c r="K190" t="s">
        <v>335</v>
      </c>
    </row>
    <row r="191" spans="1:11" ht="14.4">
      <c r="A191" s="22" t="str">
        <f>F191&amp;(COUNTIFS(F$2:F191,F191,K$2:K191,"Sparse"))</f>
        <v>UA11</v>
      </c>
      <c r="B191" s="22" t="str">
        <f>J191&amp;(COUNTIF(J$2:J191,J191))</f>
        <v>Unitary35</v>
      </c>
      <c r="C191" t="s">
        <v>322</v>
      </c>
      <c r="D191" t="s">
        <v>322</v>
      </c>
      <c r="E191" s="25" t="s">
        <v>388</v>
      </c>
      <c r="F191" s="25" t="s">
        <v>385</v>
      </c>
      <c r="G191" s="25" t="s">
        <v>394</v>
      </c>
      <c r="H191" s="26" t="s">
        <v>891</v>
      </c>
      <c r="I191" s="27" t="s">
        <v>380</v>
      </c>
      <c r="J191" t="s">
        <v>394</v>
      </c>
      <c r="K191" t="s">
        <v>335</v>
      </c>
    </row>
    <row r="192" spans="1:11" ht="14.4">
      <c r="A192" s="22" t="str">
        <f>F192&amp;(COUNTIFS(F$2:F192,F192,K$2:K192,"Sparse"))</f>
        <v>SD23</v>
      </c>
      <c r="B192" s="22" t="str">
        <f>J192&amp;(COUNTIF(J$2:J192,J192))</f>
        <v>Norfolk7</v>
      </c>
      <c r="C192" s="27" t="s">
        <v>117</v>
      </c>
      <c r="D192" s="27" t="s">
        <v>117</v>
      </c>
      <c r="E192" s="25" t="s">
        <v>368</v>
      </c>
      <c r="F192" s="25" t="s">
        <v>379</v>
      </c>
      <c r="G192" s="25" t="s">
        <v>5</v>
      </c>
      <c r="H192" s="27" t="s">
        <v>382</v>
      </c>
      <c r="I192" s="27" t="s">
        <v>382</v>
      </c>
      <c r="J192" t="s">
        <v>319</v>
      </c>
    </row>
    <row r="193" spans="1:11" ht="14.4">
      <c r="A193" s="22" t="str">
        <f>F193&amp;(COUNTIFS(F$2:F193,F193,K$2:K193,"Sparse"))</f>
        <v>UA11</v>
      </c>
      <c r="B193" s="22" t="str">
        <f>J193&amp;(COUNTIF(J$2:J193,J193))</f>
        <v>Unitary36</v>
      </c>
      <c r="C193" t="s">
        <v>279</v>
      </c>
      <c r="D193" t="s">
        <v>279</v>
      </c>
      <c r="E193" s="25" t="s">
        <v>366</v>
      </c>
      <c r="F193" s="25" t="s">
        <v>385</v>
      </c>
      <c r="G193" s="25" t="s">
        <v>394</v>
      </c>
      <c r="H193" s="26" t="s">
        <v>382</v>
      </c>
      <c r="I193" s="27" t="s">
        <v>382</v>
      </c>
      <c r="J193" t="s">
        <v>394</v>
      </c>
    </row>
    <row r="194" spans="1:11" ht="14.4">
      <c r="A194" s="22" t="str">
        <f>F194&amp;(COUNTIFS(F$2:F194,F194,K$2:K194,"Sparse"))</f>
        <v>SC6</v>
      </c>
      <c r="B194" s="22" t="str">
        <f>J194&amp;(COUNTIF(J$2:J194,J194))</f>
        <v>Nottinghamshire7</v>
      </c>
      <c r="C194" s="27" t="s">
        <v>323</v>
      </c>
      <c r="D194" s="27" t="s">
        <v>323</v>
      </c>
      <c r="E194" s="25" t="s">
        <v>366</v>
      </c>
      <c r="F194" s="25" t="s">
        <v>387</v>
      </c>
      <c r="G194" s="25" t="s">
        <v>301</v>
      </c>
      <c r="H194" s="27" t="s">
        <v>892</v>
      </c>
      <c r="I194" s="27" t="s">
        <v>892</v>
      </c>
      <c r="J194" t="s">
        <v>323</v>
      </c>
      <c r="K194" t="s">
        <v>335</v>
      </c>
    </row>
    <row r="195" spans="1:11" ht="14.4">
      <c r="A195" s="22" t="str">
        <f>F195&amp;(COUNTIFS(F$2:F195,F195,K$2:K195,"Sparse"))</f>
        <v>SD23</v>
      </c>
      <c r="B195" s="22" t="str">
        <f>J195&amp;(COUNTIF(J$2:J195,J195))</f>
        <v>Warwickshire2</v>
      </c>
      <c r="C195" t="s">
        <v>346</v>
      </c>
      <c r="D195" t="s">
        <v>346</v>
      </c>
      <c r="E195" s="25" t="s">
        <v>367</v>
      </c>
      <c r="F195" s="25" t="s">
        <v>379</v>
      </c>
      <c r="G195" s="25" t="s">
        <v>5</v>
      </c>
      <c r="H195" s="26" t="s">
        <v>382</v>
      </c>
      <c r="I195" s="27" t="s">
        <v>382</v>
      </c>
      <c r="J195" s="3" t="s">
        <v>330</v>
      </c>
    </row>
    <row r="196" spans="1:11" ht="14.4">
      <c r="A196" s="22" t="str">
        <f>F196&amp;(COUNTIFS(F$2:F196,F196,K$2:K196,"Sparse"))</f>
        <v>SD23</v>
      </c>
      <c r="B196" s="22" t="str">
        <f>J196&amp;(COUNTIF(J$2:J196,J196))</f>
        <v>Leicestershire8</v>
      </c>
      <c r="C196" t="s">
        <v>347</v>
      </c>
      <c r="D196" t="s">
        <v>347</v>
      </c>
      <c r="E196" s="25" t="s">
        <v>366</v>
      </c>
      <c r="F196" s="25" t="s">
        <v>379</v>
      </c>
      <c r="G196" s="25" t="s">
        <v>5</v>
      </c>
      <c r="H196" s="26" t="s">
        <v>382</v>
      </c>
      <c r="I196" s="27" t="s">
        <v>382</v>
      </c>
      <c r="J196" t="s">
        <v>317</v>
      </c>
    </row>
    <row r="197" spans="1:11" ht="14.4">
      <c r="A197" s="22" t="str">
        <f>F197&amp;(COUNTIFS(F$2:F197,F197,K$2:K197,"Sparse"))</f>
        <v>MD0</v>
      </c>
      <c r="B197" s="22" t="str">
        <f>J197&amp;(COUNTIF(J$2:J197,J197))</f>
        <v>Oldham1</v>
      </c>
      <c r="C197" t="s">
        <v>239</v>
      </c>
      <c r="D197" t="s">
        <v>239</v>
      </c>
      <c r="E197" s="25" t="s">
        <v>374</v>
      </c>
      <c r="F197" s="25" t="s">
        <v>384</v>
      </c>
      <c r="G197" s="25" t="s">
        <v>395</v>
      </c>
      <c r="H197" s="26" t="s">
        <v>382</v>
      </c>
      <c r="I197" s="27" t="s">
        <v>382</v>
      </c>
      <c r="J197" s="3" t="s">
        <v>239</v>
      </c>
    </row>
    <row r="198" spans="1:11" ht="14.4">
      <c r="A198" s="22" t="str">
        <f>F198&amp;(COUNTIFS(F$2:F198,F198,K$2:K198,"Sparse"))</f>
        <v>SD23</v>
      </c>
      <c r="B198" s="22" t="str">
        <f>J198&amp;(COUNTIF(J$2:J198,J198))</f>
        <v>Oxfordshire2</v>
      </c>
      <c r="C198" s="27" t="s">
        <v>118</v>
      </c>
      <c r="D198" s="27" t="s">
        <v>118</v>
      </c>
      <c r="E198" s="25" t="s">
        <v>0</v>
      </c>
      <c r="F198" s="25" t="s">
        <v>379</v>
      </c>
      <c r="G198" s="25" t="s">
        <v>5</v>
      </c>
      <c r="H198" s="27" t="s">
        <v>382</v>
      </c>
      <c r="I198" s="27" t="s">
        <v>382</v>
      </c>
      <c r="J198" t="s">
        <v>324</v>
      </c>
    </row>
    <row r="199" spans="1:11" ht="14.4">
      <c r="A199" s="22" t="str">
        <f>F199&amp;(COUNTIFS(F$2:F199,F199,K$2:K199,"Sparse"))</f>
        <v>SC6</v>
      </c>
      <c r="B199" s="22" t="str">
        <f>J199&amp;(COUNTIF(J$2:J199,J199))</f>
        <v>Oxfordshire3</v>
      </c>
      <c r="C199" t="s">
        <v>324</v>
      </c>
      <c r="D199" t="s">
        <v>324</v>
      </c>
      <c r="E199" s="25" t="s">
        <v>0</v>
      </c>
      <c r="F199" s="25" t="s">
        <v>387</v>
      </c>
      <c r="G199" s="25" t="s">
        <v>301</v>
      </c>
      <c r="H199" s="26" t="s">
        <v>380</v>
      </c>
      <c r="I199" s="27" t="s">
        <v>380</v>
      </c>
      <c r="J199" t="s">
        <v>324</v>
      </c>
    </row>
    <row r="200" spans="1:11" ht="14.4">
      <c r="A200" s="22" t="str">
        <f>F200&amp;(COUNTIFS(F$2:F200,F200,K$2:K200,"Sparse"))</f>
        <v>SD23</v>
      </c>
      <c r="B200" s="22" t="str">
        <f>J200&amp;(COUNTIF(J$2:J200,J200))</f>
        <v>Lancashire7</v>
      </c>
      <c r="C200" t="s">
        <v>119</v>
      </c>
      <c r="D200" t="s">
        <v>119</v>
      </c>
      <c r="E200" s="25" t="s">
        <v>374</v>
      </c>
      <c r="F200" s="25" t="s">
        <v>379</v>
      </c>
      <c r="G200" s="25" t="s">
        <v>5</v>
      </c>
      <c r="H200" s="26" t="s">
        <v>382</v>
      </c>
      <c r="I200" s="27" t="s">
        <v>382</v>
      </c>
      <c r="J200" t="s">
        <v>316</v>
      </c>
    </row>
    <row r="201" spans="1:11" ht="14.4">
      <c r="A201" s="22" t="str">
        <f>F201&amp;(COUNTIFS(F$2:F201,F201,K$2:K201,"Sparse"))</f>
        <v>UA11</v>
      </c>
      <c r="B201" s="22" t="str">
        <f>J201&amp;(COUNTIF(J$2:J201,J201))</f>
        <v>Unitary37</v>
      </c>
      <c r="C201" t="s">
        <v>280</v>
      </c>
      <c r="D201" t="s">
        <v>280</v>
      </c>
      <c r="E201" s="25" t="s">
        <v>368</v>
      </c>
      <c r="F201" s="25" t="s">
        <v>385</v>
      </c>
      <c r="G201" s="25" t="s">
        <v>394</v>
      </c>
      <c r="H201" s="26" t="s">
        <v>382</v>
      </c>
      <c r="I201" s="27" t="s">
        <v>382</v>
      </c>
      <c r="J201" t="s">
        <v>394</v>
      </c>
    </row>
    <row r="202" spans="1:11" ht="14.4">
      <c r="A202" s="22" t="str">
        <f>F202&amp;(COUNTIFS(F$2:F202,F202,K$2:K202,"Sparse"))</f>
        <v>UA11</v>
      </c>
      <c r="B202" s="22" t="str">
        <f>J202&amp;(COUNTIF(J$2:J202,J202))</f>
        <v>Unitary38</v>
      </c>
      <c r="C202" t="s">
        <v>281</v>
      </c>
      <c r="D202" t="s">
        <v>281</v>
      </c>
      <c r="E202" s="25" t="s">
        <v>1</v>
      </c>
      <c r="F202" s="25" t="s">
        <v>385</v>
      </c>
      <c r="G202" s="25" t="s">
        <v>394</v>
      </c>
      <c r="H202" s="26" t="s">
        <v>382</v>
      </c>
      <c r="I202" s="27" t="s">
        <v>382</v>
      </c>
      <c r="J202" t="s">
        <v>394</v>
      </c>
    </row>
    <row r="203" spans="1:11" ht="14.4">
      <c r="A203" s="22" t="str">
        <f>F203&amp;(COUNTIFS(F$2:F203,F203,K$2:K203,"Sparse"))</f>
        <v>UA11</v>
      </c>
      <c r="B203" s="22" t="str">
        <f>J203&amp;(COUNTIF(J$2:J203,J203))</f>
        <v>Unitary39</v>
      </c>
      <c r="C203" s="27" t="s">
        <v>283</v>
      </c>
      <c r="D203" s="27" t="s">
        <v>283</v>
      </c>
      <c r="E203" s="25" t="s">
        <v>0</v>
      </c>
      <c r="F203" s="25" t="s">
        <v>385</v>
      </c>
      <c r="G203" s="25" t="s">
        <v>394</v>
      </c>
      <c r="H203" s="27" t="s">
        <v>382</v>
      </c>
      <c r="I203" s="27" t="s">
        <v>382</v>
      </c>
      <c r="J203" t="s">
        <v>394</v>
      </c>
    </row>
    <row r="204" spans="1:11" ht="14.4">
      <c r="A204" s="22" t="str">
        <f>F204&amp;(COUNTIFS(F$2:F204,F204,K$2:K204,"Sparse"))</f>
        <v>SD23</v>
      </c>
      <c r="B204" s="22" t="str">
        <f>J204&amp;(COUNTIF(J$2:J204,J204))</f>
        <v>Lancashire8</v>
      </c>
      <c r="C204" t="s">
        <v>120</v>
      </c>
      <c r="D204" t="s">
        <v>120</v>
      </c>
      <c r="E204" s="25" t="s">
        <v>374</v>
      </c>
      <c r="F204" s="25" t="s">
        <v>379</v>
      </c>
      <c r="G204" s="25" t="s">
        <v>5</v>
      </c>
      <c r="H204" s="26" t="s">
        <v>382</v>
      </c>
      <c r="I204" s="27" t="s">
        <v>382</v>
      </c>
      <c r="J204" t="s">
        <v>316</v>
      </c>
    </row>
    <row r="205" spans="1:11" ht="14.4">
      <c r="A205" s="22" t="str">
        <f>F205&amp;(COUNTIFS(F$2:F205,F205,K$2:K205,"Sparse"))</f>
        <v>UA11</v>
      </c>
      <c r="B205" s="22" t="str">
        <f>J205&amp;(COUNTIF(J$2:J205,J205))</f>
        <v>Unitary40</v>
      </c>
      <c r="C205" t="s">
        <v>284</v>
      </c>
      <c r="D205" t="s">
        <v>284</v>
      </c>
      <c r="E205" s="25" t="s">
        <v>0</v>
      </c>
      <c r="F205" s="25" t="s">
        <v>385</v>
      </c>
      <c r="G205" s="25" t="s">
        <v>394</v>
      </c>
      <c r="H205" s="26" t="s">
        <v>382</v>
      </c>
      <c r="I205" s="27" t="s">
        <v>382</v>
      </c>
      <c r="J205" s="3" t="s">
        <v>394</v>
      </c>
    </row>
    <row r="206" spans="1:11" ht="14.4">
      <c r="A206" s="22" t="str">
        <f>F206&amp;(COUNTIFS(F$2:F206,F206,K$2:K206,"Sparse"))</f>
        <v>L0</v>
      </c>
      <c r="B206" s="22" t="str">
        <f>J206&amp;(COUNTIF(J$2:J206,J206))</f>
        <v>London26</v>
      </c>
      <c r="C206" t="s">
        <v>216</v>
      </c>
      <c r="D206" t="s">
        <v>216</v>
      </c>
      <c r="E206" s="25" t="s">
        <v>381</v>
      </c>
      <c r="F206" s="25" t="s">
        <v>358</v>
      </c>
      <c r="G206" s="25" t="s">
        <v>381</v>
      </c>
      <c r="H206" s="26" t="s">
        <v>382</v>
      </c>
      <c r="I206" s="27" t="s">
        <v>382</v>
      </c>
      <c r="J206" s="3" t="s">
        <v>381</v>
      </c>
    </row>
    <row r="207" spans="1:11" ht="14.4">
      <c r="A207" s="22" t="str">
        <f>F207&amp;(COUNTIFS(F$2:F207,F207,K$2:K207,"Sparse"))</f>
        <v>UA11</v>
      </c>
      <c r="B207" s="22" t="str">
        <f>J207&amp;(COUNTIF(J$2:J207,J207))</f>
        <v>Unitary41</v>
      </c>
      <c r="C207" t="s">
        <v>808</v>
      </c>
      <c r="D207" t="s">
        <v>808</v>
      </c>
      <c r="E207" s="25" t="s">
        <v>388</v>
      </c>
      <c r="F207" s="25" t="s">
        <v>385</v>
      </c>
      <c r="G207" s="25" t="s">
        <v>394</v>
      </c>
      <c r="H207" s="26" t="s">
        <v>892</v>
      </c>
      <c r="I207" s="27" t="s">
        <v>892</v>
      </c>
      <c r="J207" s="3" t="s">
        <v>394</v>
      </c>
    </row>
    <row r="208" spans="1:11" ht="14.4">
      <c r="A208" s="22" t="str">
        <f>F208&amp;(COUNTIFS(F$2:F208,F208,K$2:K208,"Sparse"))</f>
        <v>SD23</v>
      </c>
      <c r="B208" s="22" t="str">
        <f>J208&amp;(COUNTIF(J$2:J208,J208))</f>
        <v>Worcestershire3</v>
      </c>
      <c r="C208" t="s">
        <v>122</v>
      </c>
      <c r="D208" t="s">
        <v>122</v>
      </c>
      <c r="E208" s="25" t="s">
        <v>367</v>
      </c>
      <c r="F208" s="25" t="s">
        <v>379</v>
      </c>
      <c r="G208" s="25" t="s">
        <v>5</v>
      </c>
      <c r="H208" s="26" t="s">
        <v>382</v>
      </c>
      <c r="I208" s="27" t="s">
        <v>382</v>
      </c>
      <c r="J208" t="s">
        <v>332</v>
      </c>
    </row>
    <row r="209" spans="1:11" ht="14.4">
      <c r="A209" s="22" t="str">
        <f>F209&amp;(COUNTIFS(F$2:F209,F209,K$2:K209,"Sparse"))</f>
        <v>SD23</v>
      </c>
      <c r="B209" s="22" t="str">
        <f>J209&amp;(COUNTIF(J$2:J209,J209))</f>
        <v>Surrey5</v>
      </c>
      <c r="C209" t="s">
        <v>348</v>
      </c>
      <c r="D209" t="s">
        <v>348</v>
      </c>
      <c r="E209" s="25" t="s">
        <v>0</v>
      </c>
      <c r="F209" s="25" t="s">
        <v>379</v>
      </c>
      <c r="G209" s="25" t="s">
        <v>5</v>
      </c>
      <c r="H209" s="26" t="s">
        <v>382</v>
      </c>
      <c r="I209" s="27" t="s">
        <v>382</v>
      </c>
      <c r="J209" s="3" t="s">
        <v>329</v>
      </c>
    </row>
    <row r="210" spans="1:11" ht="14.4">
      <c r="A210" s="22" t="str">
        <f>F210&amp;(COUNTIFS(F$2:F210,F210,K$2:K210,"Sparse"))</f>
        <v>SD24</v>
      </c>
      <c r="B210" s="22" t="str">
        <f>J210&amp;(COUNTIF(J$2:J210,J210))</f>
        <v>Lancashire9</v>
      </c>
      <c r="C210" t="s">
        <v>123</v>
      </c>
      <c r="D210" t="s">
        <v>123</v>
      </c>
      <c r="E210" s="25" t="s">
        <v>374</v>
      </c>
      <c r="F210" s="25" t="s">
        <v>379</v>
      </c>
      <c r="G210" s="25" t="s">
        <v>5</v>
      </c>
      <c r="H210" s="26" t="s">
        <v>891</v>
      </c>
      <c r="I210" s="27" t="s">
        <v>380</v>
      </c>
      <c r="J210" t="s">
        <v>316</v>
      </c>
      <c r="K210" t="s">
        <v>335</v>
      </c>
    </row>
    <row r="211" spans="1:11" ht="14.4">
      <c r="A211" s="22" t="str">
        <f>F211&amp;(COUNTIFS(F$2:F211,F211,K$2:K211,"Sparse"))</f>
        <v>L0</v>
      </c>
      <c r="B211" s="22" t="str">
        <f>J211&amp;(COUNTIF(J$2:J211,J211))</f>
        <v>London27</v>
      </c>
      <c r="C211" t="s">
        <v>392</v>
      </c>
      <c r="D211" t="s">
        <v>392</v>
      </c>
      <c r="E211" s="25" t="s">
        <v>381</v>
      </c>
      <c r="F211" s="25" t="s">
        <v>358</v>
      </c>
      <c r="G211" s="25" t="s">
        <v>381</v>
      </c>
      <c r="H211" s="26" t="s">
        <v>382</v>
      </c>
      <c r="I211" s="27" t="s">
        <v>382</v>
      </c>
      <c r="J211" s="3" t="s">
        <v>381</v>
      </c>
    </row>
    <row r="212" spans="1:11" ht="14.4">
      <c r="A212" s="22" t="str">
        <f>F212&amp;(COUNTIFS(F$2:F212,F212,K$2:K212,"Sparse"))</f>
        <v>MD0</v>
      </c>
      <c r="B212" s="22" t="str">
        <f>J212&amp;(COUNTIF(J$2:J212,J212))</f>
        <v>Rochdale1</v>
      </c>
      <c r="C212" t="s">
        <v>240</v>
      </c>
      <c r="D212" t="s">
        <v>240</v>
      </c>
      <c r="E212" s="25" t="s">
        <v>374</v>
      </c>
      <c r="F212" s="25" t="s">
        <v>384</v>
      </c>
      <c r="G212" s="25" t="s">
        <v>395</v>
      </c>
      <c r="H212" s="26" t="s">
        <v>382</v>
      </c>
      <c r="I212" s="27" t="s">
        <v>382</v>
      </c>
      <c r="J212" t="s">
        <v>240</v>
      </c>
    </row>
    <row r="213" spans="1:11" ht="14.4">
      <c r="A213" s="22" t="str">
        <f>F213&amp;(COUNTIFS(F$2:F213,F213,K$2:K213,"Sparse"))</f>
        <v>SD24</v>
      </c>
      <c r="B213" s="22" t="str">
        <f>J213&amp;(COUNTIF(J$2:J213,J213))</f>
        <v>Essex11</v>
      </c>
      <c r="C213" t="s">
        <v>125</v>
      </c>
      <c r="D213" t="s">
        <v>125</v>
      </c>
      <c r="E213" s="25" t="s">
        <v>368</v>
      </c>
      <c r="F213" s="25" t="s">
        <v>379</v>
      </c>
      <c r="G213" s="25" t="s">
        <v>5</v>
      </c>
      <c r="H213" s="26" t="s">
        <v>382</v>
      </c>
      <c r="I213" s="27" t="s">
        <v>382</v>
      </c>
      <c r="J213" t="s">
        <v>311</v>
      </c>
    </row>
    <row r="214" spans="1:11" ht="14.4">
      <c r="A214" s="22" t="str">
        <f>F214&amp;(COUNTIFS(F$2:F214,F214,K$2:K214,"Sparse"))</f>
        <v>SD24</v>
      </c>
      <c r="B214" s="22" t="str">
        <f>J214&amp;(COUNTIF(J$2:J214,J214))</f>
        <v>Lancashire10</v>
      </c>
      <c r="C214" t="s">
        <v>126</v>
      </c>
      <c r="D214" t="s">
        <v>126</v>
      </c>
      <c r="E214" s="25" t="s">
        <v>374</v>
      </c>
      <c r="F214" s="25" t="s">
        <v>379</v>
      </c>
      <c r="G214" s="25" t="s">
        <v>5</v>
      </c>
      <c r="H214" s="26" t="s">
        <v>382</v>
      </c>
      <c r="I214" s="27" t="s">
        <v>382</v>
      </c>
      <c r="J214" t="s">
        <v>316</v>
      </c>
    </row>
    <row r="215" spans="1:11" ht="14.4">
      <c r="A215" s="22" t="str">
        <f>F215&amp;(COUNTIFS(F$2:F215,F215,K$2:K215,"Sparse"))</f>
        <v>SD25</v>
      </c>
      <c r="B215" s="22" t="str">
        <f>J215&amp;(COUNTIF(J$2:J215,J215))</f>
        <v>East Sussex5</v>
      </c>
      <c r="C215" t="s">
        <v>127</v>
      </c>
      <c r="D215" t="s">
        <v>127</v>
      </c>
      <c r="E215" s="25" t="s">
        <v>0</v>
      </c>
      <c r="F215" s="25" t="s">
        <v>379</v>
      </c>
      <c r="G215" s="25" t="s">
        <v>5</v>
      </c>
      <c r="H215" s="26" t="s">
        <v>891</v>
      </c>
      <c r="I215" s="27" t="s">
        <v>380</v>
      </c>
      <c r="J215" t="s">
        <v>310</v>
      </c>
      <c r="K215" t="s">
        <v>335</v>
      </c>
    </row>
    <row r="216" spans="1:11" ht="14.4">
      <c r="A216" s="22" t="str">
        <f>F216&amp;(COUNTIFS(F$2:F216,F216,K$2:K216,"Sparse"))</f>
        <v>MD0</v>
      </c>
      <c r="B216" s="22" t="str">
        <f>J216&amp;(COUNTIF(J$2:J216,J216))</f>
        <v>Rotherham1</v>
      </c>
      <c r="C216" t="s">
        <v>241</v>
      </c>
      <c r="D216" t="s">
        <v>241</v>
      </c>
      <c r="E216" s="25" t="s">
        <v>383</v>
      </c>
      <c r="F216" s="25" t="s">
        <v>384</v>
      </c>
      <c r="G216" s="25" t="s">
        <v>395</v>
      </c>
      <c r="H216" s="26" t="s">
        <v>382</v>
      </c>
      <c r="I216" s="27" t="s">
        <v>382</v>
      </c>
      <c r="J216" t="s">
        <v>241</v>
      </c>
    </row>
    <row r="217" spans="1:11" ht="14.4">
      <c r="A217" s="22" t="str">
        <f>F217&amp;(COUNTIFS(F$2:F217,F217,K$2:K217,"Sparse"))</f>
        <v>SD26</v>
      </c>
      <c r="B217" s="22" t="str">
        <f>J217&amp;(COUNTIF(J$2:J217,J217))</f>
        <v>Warwickshire3</v>
      </c>
      <c r="C217" t="s">
        <v>128</v>
      </c>
      <c r="D217" t="s">
        <v>128</v>
      </c>
      <c r="E217" s="25" t="s">
        <v>367</v>
      </c>
      <c r="F217" s="25" t="s">
        <v>379</v>
      </c>
      <c r="G217" s="25" t="s">
        <v>5</v>
      </c>
      <c r="H217" s="26" t="s">
        <v>382</v>
      </c>
      <c r="I217" s="27" t="s">
        <v>382</v>
      </c>
      <c r="J217" t="s">
        <v>330</v>
      </c>
      <c r="K217" t="s">
        <v>335</v>
      </c>
    </row>
    <row r="218" spans="1:11" ht="14.4">
      <c r="A218" s="22" t="str">
        <f>F218&amp;(COUNTIFS(F$2:F218,F218,K$2:K218,"Sparse"))</f>
        <v>SD26</v>
      </c>
      <c r="B218" s="22" t="str">
        <f>J218&amp;(COUNTIF(J$2:J218,J218))</f>
        <v>Surrey6</v>
      </c>
      <c r="C218" t="s">
        <v>129</v>
      </c>
      <c r="D218" t="s">
        <v>129</v>
      </c>
      <c r="E218" s="25" t="s">
        <v>0</v>
      </c>
      <c r="F218" s="25" t="s">
        <v>379</v>
      </c>
      <c r="G218" s="25" t="s">
        <v>5</v>
      </c>
      <c r="H218" s="26" t="s">
        <v>382</v>
      </c>
      <c r="I218" s="27" t="s">
        <v>382</v>
      </c>
      <c r="J218" t="s">
        <v>329</v>
      </c>
    </row>
    <row r="219" spans="1:11" ht="14.4">
      <c r="A219" s="22" t="str">
        <f>F219&amp;(COUNTIFS(F$2:F219,F219,K$2:K219,"Sparse"))</f>
        <v>SD26</v>
      </c>
      <c r="B219" s="22" t="str">
        <f>J219&amp;(COUNTIF(J$2:J219,J219))</f>
        <v>Nottinghamshire8</v>
      </c>
      <c r="C219" t="s">
        <v>130</v>
      </c>
      <c r="D219" t="s">
        <v>130</v>
      </c>
      <c r="E219" s="25" t="s">
        <v>366</v>
      </c>
      <c r="F219" s="25" t="s">
        <v>379</v>
      </c>
      <c r="G219" s="25" t="s">
        <v>5</v>
      </c>
      <c r="H219" s="26" t="s">
        <v>891</v>
      </c>
      <c r="I219" s="27" t="s">
        <v>380</v>
      </c>
      <c r="J219" t="s">
        <v>323</v>
      </c>
    </row>
    <row r="220" spans="1:11" ht="14.4">
      <c r="A220" s="22" t="str">
        <f>F220&amp;(COUNTIFS(F$2:F220,F220,K$2:K220,"Sparse"))</f>
        <v>SD26</v>
      </c>
      <c r="B220" s="22" t="str">
        <f>J220&amp;(COUNTIF(J$2:J220,J220))</f>
        <v>Hampshire10</v>
      </c>
      <c r="C220" t="s">
        <v>131</v>
      </c>
      <c r="D220" t="s">
        <v>131</v>
      </c>
      <c r="E220" s="25" t="s">
        <v>0</v>
      </c>
      <c r="F220" s="25" t="s">
        <v>379</v>
      </c>
      <c r="G220" s="25" t="s">
        <v>5</v>
      </c>
      <c r="H220" s="26" t="s">
        <v>382</v>
      </c>
      <c r="I220" s="27" t="s">
        <v>382</v>
      </c>
      <c r="J220" t="s">
        <v>313</v>
      </c>
    </row>
    <row r="221" spans="1:11" ht="14.4">
      <c r="A221" s="22" t="str">
        <f>F221&amp;(COUNTIFS(F$2:F221,F221,K$2:K221,"Sparse"))</f>
        <v>UA12</v>
      </c>
      <c r="B221" s="22" t="str">
        <f>J221&amp;(COUNTIF(J$2:J221,J221))</f>
        <v>Unitary42</v>
      </c>
      <c r="C221" t="s">
        <v>285</v>
      </c>
      <c r="D221" t="s">
        <v>285</v>
      </c>
      <c r="E221" s="25" t="s">
        <v>366</v>
      </c>
      <c r="F221" s="25" t="s">
        <v>385</v>
      </c>
      <c r="G221" s="25" t="s">
        <v>394</v>
      </c>
      <c r="H221" s="26" t="s">
        <v>891</v>
      </c>
      <c r="I221" s="27" t="s">
        <v>380</v>
      </c>
      <c r="J221" t="s">
        <v>394</v>
      </c>
      <c r="K221" t="s">
        <v>335</v>
      </c>
    </row>
    <row r="222" spans="1:11" ht="14.4">
      <c r="A222" s="22" t="str">
        <f>F222&amp;(COUNTIFS(F$2:F222,F222,K$2:K222,"Sparse"))</f>
        <v>MD0</v>
      </c>
      <c r="B222" s="22" t="str">
        <f>J222&amp;(COUNTIF(J$2:J222,J222))</f>
        <v>Salford1</v>
      </c>
      <c r="C222" t="s">
        <v>242</v>
      </c>
      <c r="D222" t="s">
        <v>242</v>
      </c>
      <c r="E222" s="25" t="s">
        <v>374</v>
      </c>
      <c r="F222" s="25" t="s">
        <v>384</v>
      </c>
      <c r="G222" s="25" t="s">
        <v>395</v>
      </c>
      <c r="H222" s="26" t="s">
        <v>382</v>
      </c>
      <c r="I222" s="27" t="s">
        <v>382</v>
      </c>
      <c r="J222" t="s">
        <v>242</v>
      </c>
    </row>
    <row r="223" spans="1:11" ht="14.4">
      <c r="A223" s="22" t="str">
        <f>F223&amp;(COUNTIFS(F$2:F223,F223,K$2:K223,"Sparse"))</f>
        <v>MD0</v>
      </c>
      <c r="B223" s="22" t="str">
        <f>J223&amp;(COUNTIF(J$2:J223,J223))</f>
        <v>Sandwell1</v>
      </c>
      <c r="C223" t="s">
        <v>243</v>
      </c>
      <c r="D223" t="s">
        <v>243</v>
      </c>
      <c r="E223" s="25" t="s">
        <v>367</v>
      </c>
      <c r="F223" s="25" t="s">
        <v>384</v>
      </c>
      <c r="G223" s="25" t="s">
        <v>395</v>
      </c>
      <c r="H223" s="26" t="s">
        <v>382</v>
      </c>
      <c r="I223" s="27" t="s">
        <v>382</v>
      </c>
      <c r="J223" t="s">
        <v>243</v>
      </c>
    </row>
    <row r="224" spans="1:11" ht="14.4">
      <c r="A224" s="22" t="str">
        <f>F224&amp;(COUNTIFS(F$2:F224,F224,K$2:K224,"Sparse"))</f>
        <v>MD0</v>
      </c>
      <c r="B224" s="22" t="str">
        <f>J224&amp;(COUNTIF(J$2:J224,J224))</f>
        <v>Sefton1</v>
      </c>
      <c r="C224" t="s">
        <v>244</v>
      </c>
      <c r="D224" t="s">
        <v>244</v>
      </c>
      <c r="E224" s="25" t="s">
        <v>374</v>
      </c>
      <c r="F224" s="25" t="s">
        <v>384</v>
      </c>
      <c r="G224" s="25" t="s">
        <v>395</v>
      </c>
      <c r="H224" s="26" t="s">
        <v>382</v>
      </c>
      <c r="I224" s="27" t="s">
        <v>382</v>
      </c>
      <c r="J224" t="s">
        <v>244</v>
      </c>
    </row>
    <row r="225" spans="1:11" ht="14.4">
      <c r="A225" s="22" t="str">
        <f>F225&amp;(COUNTIFS(F$2:F225,F225,K$2:K225,"Sparse"))</f>
        <v>SD26</v>
      </c>
      <c r="B225" s="22" t="str">
        <f>J225&amp;(COUNTIF(J$2:J225,J225))</f>
        <v>Kent9</v>
      </c>
      <c r="C225" t="s">
        <v>136</v>
      </c>
      <c r="D225" t="s">
        <v>136</v>
      </c>
      <c r="E225" s="25" t="s">
        <v>0</v>
      </c>
      <c r="F225" s="25" t="s">
        <v>379</v>
      </c>
      <c r="G225" s="25" t="s">
        <v>5</v>
      </c>
      <c r="H225" s="26" t="s">
        <v>891</v>
      </c>
      <c r="I225" s="27" t="s">
        <v>380</v>
      </c>
      <c r="J225" t="s">
        <v>315</v>
      </c>
    </row>
    <row r="226" spans="1:11" ht="14.4">
      <c r="A226" s="22" t="str">
        <f>F226&amp;(COUNTIFS(F$2:F226,F226,K$2:K226,"Sparse"))</f>
        <v>MD0</v>
      </c>
      <c r="B226" s="22" t="str">
        <f>J226&amp;(COUNTIF(J$2:J226,J226))</f>
        <v>Sheffield1</v>
      </c>
      <c r="C226" t="s">
        <v>245</v>
      </c>
      <c r="D226" t="s">
        <v>245</v>
      </c>
      <c r="E226" s="25" t="s">
        <v>383</v>
      </c>
      <c r="F226" s="25" t="s">
        <v>384</v>
      </c>
      <c r="G226" s="25" t="s">
        <v>395</v>
      </c>
      <c r="H226" s="26" t="s">
        <v>382</v>
      </c>
      <c r="I226" s="27" t="s">
        <v>382</v>
      </c>
      <c r="J226" t="s">
        <v>245</v>
      </c>
    </row>
    <row r="227" spans="1:11" ht="14.4">
      <c r="A227" s="22" t="str">
        <f>F227&amp;(COUNTIFS(F$2:F227,F227,K$2:K227,"Sparse"))</f>
        <v>UA13</v>
      </c>
      <c r="B227" s="22" t="str">
        <f>J227&amp;(COUNTIF(J$2:J227,J227))</f>
        <v>Unitary43</v>
      </c>
      <c r="C227" t="s">
        <v>325</v>
      </c>
      <c r="D227" t="s">
        <v>325</v>
      </c>
      <c r="E227" s="25" t="s">
        <v>367</v>
      </c>
      <c r="F227" s="25" t="s">
        <v>385</v>
      </c>
      <c r="G227" s="25" t="s">
        <v>394</v>
      </c>
      <c r="H227" s="26" t="s">
        <v>891</v>
      </c>
      <c r="I227" s="27" t="s">
        <v>380</v>
      </c>
      <c r="J227" t="s">
        <v>394</v>
      </c>
      <c r="K227" t="s">
        <v>335</v>
      </c>
    </row>
    <row r="228" spans="1:11" ht="14.4">
      <c r="A228" s="22" t="str">
        <f>F228&amp;(COUNTIFS(F$2:F228,F228,K$2:K228,"Sparse"))</f>
        <v>UA13</v>
      </c>
      <c r="B228" s="22" t="str">
        <f>J228&amp;(COUNTIF(J$2:J228,J228))</f>
        <v>Unitary44</v>
      </c>
      <c r="C228" t="s">
        <v>286</v>
      </c>
      <c r="D228" t="s">
        <v>286</v>
      </c>
      <c r="E228" s="25" t="s">
        <v>0</v>
      </c>
      <c r="F228" s="25" t="s">
        <v>385</v>
      </c>
      <c r="G228" s="25" t="s">
        <v>394</v>
      </c>
      <c r="H228" s="26" t="s">
        <v>382</v>
      </c>
      <c r="I228" s="27" t="s">
        <v>382</v>
      </c>
      <c r="J228" t="s">
        <v>394</v>
      </c>
    </row>
    <row r="229" spans="1:11" ht="14.4">
      <c r="A229" s="22" t="str">
        <f>F229&amp;(COUNTIFS(F$2:F229,F229,K$2:K229,"Sparse"))</f>
        <v>MD0</v>
      </c>
      <c r="B229" s="22" t="str">
        <f>J229&amp;(COUNTIF(J$2:J229,J229))</f>
        <v>Solihull1</v>
      </c>
      <c r="C229" t="s">
        <v>246</v>
      </c>
      <c r="D229" t="s">
        <v>246</v>
      </c>
      <c r="E229" s="25" t="s">
        <v>367</v>
      </c>
      <c r="F229" s="25" t="s">
        <v>384</v>
      </c>
      <c r="G229" s="25" t="s">
        <v>395</v>
      </c>
      <c r="H229" s="26" t="s">
        <v>382</v>
      </c>
      <c r="I229" s="27" t="s">
        <v>382</v>
      </c>
      <c r="J229" t="s">
        <v>246</v>
      </c>
    </row>
    <row r="230" spans="1:11" ht="14.4">
      <c r="A230" s="22" t="str">
        <f>F230&amp;(COUNTIFS(F$2:F230,F230,K$2:K230,"Sparse"))</f>
        <v>UA13</v>
      </c>
      <c r="B230" s="22" t="str">
        <f>J230&amp;(COUNTIF(J$2:J230,J230))</f>
        <v>Unitary45</v>
      </c>
      <c r="C230" t="s">
        <v>326</v>
      </c>
      <c r="D230" t="s">
        <v>326</v>
      </c>
      <c r="E230" s="25" t="s">
        <v>1</v>
      </c>
      <c r="F230" s="25" t="s">
        <v>385</v>
      </c>
      <c r="G230" s="25" t="s">
        <v>394</v>
      </c>
      <c r="H230" s="26" t="s">
        <v>380</v>
      </c>
      <c r="I230" s="27" t="s">
        <v>380</v>
      </c>
      <c r="J230" t="s">
        <v>394</v>
      </c>
    </row>
    <row r="231" spans="1:11" ht="14.4">
      <c r="A231" s="22" t="str">
        <f>F231&amp;(COUNTIFS(F$2:F231,F231,K$2:K231,"Sparse"))</f>
        <v>SD27</v>
      </c>
      <c r="B231" s="22" t="str">
        <f>J231&amp;(COUNTIF(J$2:J231,J231))</f>
        <v>Cambridgeshire6</v>
      </c>
      <c r="C231" t="s">
        <v>138</v>
      </c>
      <c r="D231" t="s">
        <v>138</v>
      </c>
      <c r="E231" s="25" t="s">
        <v>368</v>
      </c>
      <c r="F231" s="25" t="s">
        <v>379</v>
      </c>
      <c r="G231" s="25" t="s">
        <v>5</v>
      </c>
      <c r="H231" s="26" t="s">
        <v>891</v>
      </c>
      <c r="I231" s="27" t="s">
        <v>380</v>
      </c>
      <c r="J231" s="3" t="s">
        <v>302</v>
      </c>
      <c r="K231" t="s">
        <v>335</v>
      </c>
    </row>
    <row r="232" spans="1:11" ht="14.4">
      <c r="A232" s="22" t="str">
        <f>F232&amp;(COUNTIFS(F$2:F232,F232,K$2:K232,"Sparse"))</f>
        <v>SD27</v>
      </c>
      <c r="B232" s="22" t="str">
        <f>J232&amp;(COUNTIF(J$2:J232,J232))</f>
        <v>Derbyshire9</v>
      </c>
      <c r="C232" t="s">
        <v>139</v>
      </c>
      <c r="D232" t="s">
        <v>139</v>
      </c>
      <c r="E232" s="25" t="s">
        <v>366</v>
      </c>
      <c r="F232" s="25" t="s">
        <v>379</v>
      </c>
      <c r="G232" s="25" t="s">
        <v>5</v>
      </c>
      <c r="H232" s="26" t="s">
        <v>892</v>
      </c>
      <c r="I232" s="27" t="s">
        <v>892</v>
      </c>
      <c r="J232" s="3" t="s">
        <v>307</v>
      </c>
    </row>
    <row r="233" spans="1:11" ht="14.4">
      <c r="A233" s="22" t="str">
        <f>F233&amp;(COUNTIFS(F$2:F233,F233,K$2:K233,"Sparse"))</f>
        <v>UA13</v>
      </c>
      <c r="B233" s="22" t="str">
        <f>J233&amp;(COUNTIF(J$2:J233,J233))</f>
        <v>Unitary46</v>
      </c>
      <c r="C233" t="s">
        <v>287</v>
      </c>
      <c r="D233" t="s">
        <v>287</v>
      </c>
      <c r="E233" s="25" t="s">
        <v>1</v>
      </c>
      <c r="F233" s="25" t="s">
        <v>385</v>
      </c>
      <c r="G233" s="25" t="s">
        <v>394</v>
      </c>
      <c r="H233" s="26" t="s">
        <v>382</v>
      </c>
      <c r="I233" s="27" t="s">
        <v>382</v>
      </c>
      <c r="J233" t="s">
        <v>394</v>
      </c>
    </row>
    <row r="234" spans="1:11" ht="14.4">
      <c r="A234" s="22" t="str">
        <f>F234&amp;(COUNTIFS(F$2:F234,F234,K$2:K234,"Sparse"))</f>
        <v>SD28</v>
      </c>
      <c r="B234" s="22" t="str">
        <f>J234&amp;(COUNTIF(J$2:J234,J234))</f>
        <v>Devon6</v>
      </c>
      <c r="C234" s="27" t="s">
        <v>140</v>
      </c>
      <c r="D234" s="27" t="s">
        <v>140</v>
      </c>
      <c r="E234" s="25" t="s">
        <v>1</v>
      </c>
      <c r="F234" s="25" t="s">
        <v>379</v>
      </c>
      <c r="G234" s="25" t="s">
        <v>5</v>
      </c>
      <c r="H234" s="27" t="s">
        <v>891</v>
      </c>
      <c r="I234" s="27" t="s">
        <v>380</v>
      </c>
      <c r="J234" t="s">
        <v>308</v>
      </c>
      <c r="K234" t="s">
        <v>335</v>
      </c>
    </row>
    <row r="235" spans="1:11" ht="14.4">
      <c r="A235" s="22" t="str">
        <f>F235&amp;(COUNTIFS(F$2:F235,F235,K$2:K235,"Sparse"))</f>
        <v>SD29</v>
      </c>
      <c r="B235" s="22" t="str">
        <f>J235&amp;(COUNTIF(J$2:J235,J235))</f>
        <v>Lincolnshire6</v>
      </c>
      <c r="C235" t="s">
        <v>141</v>
      </c>
      <c r="D235" t="s">
        <v>141</v>
      </c>
      <c r="E235" s="25" t="s">
        <v>366</v>
      </c>
      <c r="F235" s="25" t="s">
        <v>379</v>
      </c>
      <c r="G235" s="25" t="s">
        <v>5</v>
      </c>
      <c r="H235" s="26" t="s">
        <v>891</v>
      </c>
      <c r="I235" s="27" t="s">
        <v>380</v>
      </c>
      <c r="J235" t="s">
        <v>318</v>
      </c>
      <c r="K235" t="s">
        <v>335</v>
      </c>
    </row>
    <row r="236" spans="1:11" ht="14.4">
      <c r="A236" s="22" t="str">
        <f>F236&amp;(COUNTIFS(F$2:F236,F236,K$2:K236,"Sparse"))</f>
        <v>SD30</v>
      </c>
      <c r="B236" s="22" t="str">
        <f>J236&amp;(COUNTIF(J$2:J236,J236))</f>
        <v>Lincolnshire7</v>
      </c>
      <c r="C236" t="s">
        <v>142</v>
      </c>
      <c r="D236" t="s">
        <v>142</v>
      </c>
      <c r="E236" s="25" t="s">
        <v>366</v>
      </c>
      <c r="F236" s="25" t="s">
        <v>379</v>
      </c>
      <c r="G236" s="25" t="s">
        <v>5</v>
      </c>
      <c r="H236" s="26" t="s">
        <v>891</v>
      </c>
      <c r="I236" s="27" t="s">
        <v>380</v>
      </c>
      <c r="J236" t="s">
        <v>318</v>
      </c>
      <c r="K236" t="s">
        <v>335</v>
      </c>
    </row>
    <row r="237" spans="1:11" ht="14.4">
      <c r="A237" s="22" t="str">
        <f>F237&amp;(COUNTIFS(F$2:F237,F237,K$2:K237,"Sparse"))</f>
        <v>SD31</v>
      </c>
      <c r="B237" s="22" t="str">
        <f>J237&amp;(COUNTIF(J$2:J237,J237))</f>
        <v>Norfolk8</v>
      </c>
      <c r="C237" t="s">
        <v>144</v>
      </c>
      <c r="D237" t="s">
        <v>144</v>
      </c>
      <c r="E237" s="25" t="s">
        <v>368</v>
      </c>
      <c r="F237" s="25" t="s">
        <v>379</v>
      </c>
      <c r="G237" s="25" t="s">
        <v>5</v>
      </c>
      <c r="H237" s="26" t="s">
        <v>891</v>
      </c>
      <c r="I237" s="27" t="s">
        <v>380</v>
      </c>
      <c r="J237" s="3" t="s">
        <v>319</v>
      </c>
      <c r="K237" t="s">
        <v>335</v>
      </c>
    </row>
    <row r="238" spans="1:11" ht="14.4">
      <c r="A238" s="22" t="str">
        <f>F238&amp;(COUNTIFS(F$2:F238,F238,K$2:K238,"Sparse"))</f>
        <v>SD32</v>
      </c>
      <c r="B238" s="22" t="str">
        <f>J238&amp;(COUNTIF(J$2:J238,J238))</f>
        <v>Oxfordshire4</v>
      </c>
      <c r="C238" t="s">
        <v>146</v>
      </c>
      <c r="D238" t="s">
        <v>146</v>
      </c>
      <c r="E238" s="25" t="s">
        <v>0</v>
      </c>
      <c r="F238" s="25" t="s">
        <v>379</v>
      </c>
      <c r="G238" s="25" t="s">
        <v>5</v>
      </c>
      <c r="H238" s="26" t="s">
        <v>891</v>
      </c>
      <c r="I238" s="27" t="s">
        <v>380</v>
      </c>
      <c r="J238" t="s">
        <v>324</v>
      </c>
      <c r="K238" t="s">
        <v>335</v>
      </c>
    </row>
    <row r="239" spans="1:11" ht="14.4">
      <c r="A239" s="22" t="str">
        <f>F239&amp;(COUNTIFS(F$2:F239,F239,K$2:K239,"Sparse"))</f>
        <v>SD32</v>
      </c>
      <c r="B239" s="22" t="str">
        <f>J239&amp;(COUNTIF(J$2:J239,J239))</f>
        <v>Lancashire11</v>
      </c>
      <c r="C239" t="s">
        <v>147</v>
      </c>
      <c r="D239" t="s">
        <v>147</v>
      </c>
      <c r="E239" s="25" t="s">
        <v>374</v>
      </c>
      <c r="F239" s="25" t="s">
        <v>379</v>
      </c>
      <c r="G239" s="25" t="s">
        <v>5</v>
      </c>
      <c r="H239" s="26" t="s">
        <v>382</v>
      </c>
      <c r="I239" s="27" t="s">
        <v>382</v>
      </c>
      <c r="J239" t="s">
        <v>316</v>
      </c>
    </row>
    <row r="240" spans="1:11" ht="14.4">
      <c r="A240" s="22" t="str">
        <f>F240&amp;(COUNTIFS(F$2:F240,F240,K$2:K240,"Sparse"))</f>
        <v>SD32</v>
      </c>
      <c r="B240" s="22" t="str">
        <f>J240&amp;(COUNTIF(J$2:J240,J240))</f>
        <v>Staffordshire5</v>
      </c>
      <c r="C240" t="s">
        <v>149</v>
      </c>
      <c r="D240" t="s">
        <v>149</v>
      </c>
      <c r="E240" s="25" t="s">
        <v>367</v>
      </c>
      <c r="F240" s="25" t="s">
        <v>379</v>
      </c>
      <c r="G240" s="25" t="s">
        <v>5</v>
      </c>
      <c r="H240" s="26" t="s">
        <v>892</v>
      </c>
      <c r="I240" s="27" t="s">
        <v>892</v>
      </c>
      <c r="J240" t="s">
        <v>327</v>
      </c>
    </row>
    <row r="241" spans="1:11" ht="14.4">
      <c r="A241" s="22" t="str">
        <f>F241&amp;(COUNTIFS(F$2:F241,F241,K$2:K241,"Sparse"))</f>
        <v>MD0</v>
      </c>
      <c r="B241" s="22" t="str">
        <f>J241&amp;(COUNTIF(J$2:J241,J241))</f>
        <v>South Tyneside1</v>
      </c>
      <c r="C241" t="s">
        <v>247</v>
      </c>
      <c r="D241" t="s">
        <v>247</v>
      </c>
      <c r="E241" s="25" t="s">
        <v>388</v>
      </c>
      <c r="F241" s="25" t="s">
        <v>384</v>
      </c>
      <c r="G241" s="25" t="s">
        <v>395</v>
      </c>
      <c r="H241" s="26" t="s">
        <v>382</v>
      </c>
      <c r="I241" s="27" t="s">
        <v>382</v>
      </c>
      <c r="J241" t="s">
        <v>247</v>
      </c>
    </row>
    <row r="242" spans="1:11" ht="14.4">
      <c r="A242" s="22" t="str">
        <f>F242&amp;(COUNTIFS(F$2:F242,F242,K$2:K242,"Sparse"))</f>
        <v>UA13</v>
      </c>
      <c r="B242" s="22" t="str">
        <f>J242&amp;(COUNTIF(J$2:J242,J242))</f>
        <v>Unitary47</v>
      </c>
      <c r="C242" t="s">
        <v>288</v>
      </c>
      <c r="D242" t="s">
        <v>288</v>
      </c>
      <c r="E242" s="25" t="s">
        <v>0</v>
      </c>
      <c r="F242" s="25" t="s">
        <v>385</v>
      </c>
      <c r="G242" s="25" t="s">
        <v>394</v>
      </c>
      <c r="H242" s="26" t="s">
        <v>382</v>
      </c>
      <c r="I242" s="27" t="s">
        <v>382</v>
      </c>
      <c r="J242" t="s">
        <v>394</v>
      </c>
    </row>
    <row r="243" spans="1:11" ht="14.4">
      <c r="A243" s="22" t="str">
        <f>F243&amp;(COUNTIFS(F$2:F243,F243,K$2:K243,"Sparse"))</f>
        <v>UA13</v>
      </c>
      <c r="B243" s="22" t="str">
        <f>J243&amp;(COUNTIF(J$2:J243,J243))</f>
        <v>Unitary48</v>
      </c>
      <c r="C243" t="s">
        <v>289</v>
      </c>
      <c r="D243" t="s">
        <v>289</v>
      </c>
      <c r="E243" s="25" t="s">
        <v>368</v>
      </c>
      <c r="F243" s="25" t="s">
        <v>385</v>
      </c>
      <c r="G243" s="25" t="s">
        <v>394</v>
      </c>
      <c r="H243" s="26" t="s">
        <v>382</v>
      </c>
      <c r="I243" s="27" t="s">
        <v>382</v>
      </c>
      <c r="J243" t="s">
        <v>394</v>
      </c>
    </row>
    <row r="244" spans="1:11" ht="14.4">
      <c r="A244" s="22" t="str">
        <f>F244&amp;(COUNTIFS(F$2:F244,F244,K$2:K244,"Sparse"))</f>
        <v>L0</v>
      </c>
      <c r="B244" s="22" t="str">
        <f>J244&amp;(COUNTIF(J$2:J244,J244))</f>
        <v>London28</v>
      </c>
      <c r="C244" t="s">
        <v>217</v>
      </c>
      <c r="D244" t="s">
        <v>217</v>
      </c>
      <c r="E244" s="25" t="s">
        <v>381</v>
      </c>
      <c r="F244" s="25" t="s">
        <v>358</v>
      </c>
      <c r="G244" s="25" t="s">
        <v>381</v>
      </c>
      <c r="H244" s="26" t="s">
        <v>382</v>
      </c>
      <c r="I244" s="27" t="s">
        <v>382</v>
      </c>
      <c r="J244" t="s">
        <v>381</v>
      </c>
    </row>
    <row r="245" spans="1:11" ht="14.4">
      <c r="A245" s="22" t="str">
        <f>F245&amp;(COUNTIFS(F$2:F245,F245,K$2:K245,"Sparse"))</f>
        <v>SD32</v>
      </c>
      <c r="B245" s="22" t="str">
        <f>J245&amp;(COUNTIF(J$2:J245,J245))</f>
        <v>Surrey7</v>
      </c>
      <c r="C245" t="s">
        <v>150</v>
      </c>
      <c r="D245" t="s">
        <v>150</v>
      </c>
      <c r="E245" s="25" t="s">
        <v>0</v>
      </c>
      <c r="F245" s="25" t="s">
        <v>379</v>
      </c>
      <c r="G245" s="25" t="s">
        <v>5</v>
      </c>
      <c r="H245" s="26" t="s">
        <v>382</v>
      </c>
      <c r="I245" s="27" t="s">
        <v>382</v>
      </c>
      <c r="J245" t="s">
        <v>329</v>
      </c>
    </row>
    <row r="246" spans="1:11" ht="14.4">
      <c r="A246" s="22" t="str">
        <f>F246&amp;(COUNTIFS(F$2:F246,F246,K$2:K246,"Sparse"))</f>
        <v>SD32</v>
      </c>
      <c r="B246" s="22" t="str">
        <f>J246&amp;(COUNTIF(J$2:J246,J246))</f>
        <v>Hertfordshire7</v>
      </c>
      <c r="C246" t="s">
        <v>151</v>
      </c>
      <c r="D246" t="s">
        <v>151</v>
      </c>
      <c r="E246" s="25" t="s">
        <v>368</v>
      </c>
      <c r="F246" s="25" t="s">
        <v>379</v>
      </c>
      <c r="G246" s="25" t="s">
        <v>5</v>
      </c>
      <c r="H246" s="26" t="s">
        <v>382</v>
      </c>
      <c r="I246" s="27" t="s">
        <v>382</v>
      </c>
      <c r="J246" t="s">
        <v>314</v>
      </c>
    </row>
    <row r="247" spans="1:11" ht="14.4">
      <c r="A247" s="22" t="str">
        <f>F247&amp;(COUNTIFS(F$2:F247,F247,K$2:K247,"Sparse"))</f>
        <v>MD0</v>
      </c>
      <c r="B247" s="22" t="str">
        <f>J247&amp;(COUNTIF(J$2:J247,J247))</f>
        <v>St Helens1</v>
      </c>
      <c r="C247" t="s">
        <v>248</v>
      </c>
      <c r="D247" t="s">
        <v>393</v>
      </c>
      <c r="E247" s="25" t="s">
        <v>374</v>
      </c>
      <c r="F247" s="25" t="s">
        <v>384</v>
      </c>
      <c r="G247" s="25" t="s">
        <v>395</v>
      </c>
      <c r="H247" s="26" t="s">
        <v>382</v>
      </c>
      <c r="I247" s="27" t="s">
        <v>382</v>
      </c>
      <c r="J247" t="s">
        <v>248</v>
      </c>
    </row>
    <row r="248" spans="1:11" ht="14.4">
      <c r="A248" s="22" t="str">
        <f>F248&amp;(COUNTIFS(F$2:F248,F248,K$2:K248,"Sparse"))</f>
        <v>SD33</v>
      </c>
      <c r="B248" s="22" t="str">
        <f>J248&amp;(COUNTIF(J$2:J248,J248))</f>
        <v>Staffordshire6</v>
      </c>
      <c r="C248" t="s">
        <v>153</v>
      </c>
      <c r="D248" t="s">
        <v>153</v>
      </c>
      <c r="E248" s="25" t="s">
        <v>367</v>
      </c>
      <c r="F248" s="25" t="s">
        <v>379</v>
      </c>
      <c r="G248" s="25" t="s">
        <v>5</v>
      </c>
      <c r="H248" s="26" t="s">
        <v>892</v>
      </c>
      <c r="I248" s="27" t="s">
        <v>892</v>
      </c>
      <c r="J248" s="3" t="s">
        <v>327</v>
      </c>
      <c r="K248" t="s">
        <v>335</v>
      </c>
    </row>
    <row r="249" spans="1:11" ht="14.4">
      <c r="A249" s="22" t="str">
        <f>F249&amp;(COUNTIFS(F$2:F249,F249,K$2:K249,"Sparse"))</f>
        <v>SC7</v>
      </c>
      <c r="B249" s="22" t="str">
        <f>J249&amp;(COUNTIF(J$2:J249,J249))</f>
        <v>Staffordshire7</v>
      </c>
      <c r="C249" t="s">
        <v>327</v>
      </c>
      <c r="D249" t="s">
        <v>327</v>
      </c>
      <c r="E249" s="25" t="s">
        <v>367</v>
      </c>
      <c r="F249" s="25" t="s">
        <v>387</v>
      </c>
      <c r="G249" s="25" t="s">
        <v>301</v>
      </c>
      <c r="H249" s="26" t="s">
        <v>892</v>
      </c>
      <c r="I249" s="27" t="s">
        <v>892</v>
      </c>
      <c r="J249" s="3" t="s">
        <v>327</v>
      </c>
      <c r="K249" t="s">
        <v>335</v>
      </c>
    </row>
    <row r="250" spans="1:11" ht="14.4">
      <c r="A250" s="22" t="str">
        <f>F250&amp;(COUNTIFS(F$2:F250,F250,K$2:K250,"Sparse"))</f>
        <v>SD33</v>
      </c>
      <c r="B250" s="22" t="str">
        <f>J250&amp;(COUNTIF(J$2:J250,J250))</f>
        <v>Staffordshire8</v>
      </c>
      <c r="C250" t="s">
        <v>154</v>
      </c>
      <c r="D250" t="s">
        <v>154</v>
      </c>
      <c r="E250" s="25" t="s">
        <v>367</v>
      </c>
      <c r="F250" s="25" t="s">
        <v>379</v>
      </c>
      <c r="G250" s="25" t="s">
        <v>5</v>
      </c>
      <c r="H250" s="26" t="s">
        <v>891</v>
      </c>
      <c r="I250" s="27" t="s">
        <v>380</v>
      </c>
      <c r="J250" t="s">
        <v>327</v>
      </c>
    </row>
    <row r="251" spans="1:11" ht="14.4">
      <c r="A251" s="22" t="str">
        <f>F251&amp;(COUNTIFS(F$2:F251,F251,K$2:K251,"Sparse"))</f>
        <v>SD33</v>
      </c>
      <c r="B251" s="22" t="str">
        <f>J251&amp;(COUNTIF(J$2:J251,J251))</f>
        <v>Hertfordshire8</v>
      </c>
      <c r="C251" t="s">
        <v>155</v>
      </c>
      <c r="D251" t="s">
        <v>155</v>
      </c>
      <c r="E251" s="25" t="s">
        <v>368</v>
      </c>
      <c r="F251" s="25" t="s">
        <v>379</v>
      </c>
      <c r="G251" s="25" t="s">
        <v>5</v>
      </c>
      <c r="H251" s="26" t="s">
        <v>382</v>
      </c>
      <c r="I251" s="27" t="s">
        <v>382</v>
      </c>
      <c r="J251" t="s">
        <v>314</v>
      </c>
    </row>
    <row r="252" spans="1:11" ht="14.4">
      <c r="A252" s="22" t="str">
        <f>F252&amp;(COUNTIFS(F$2:F252,F252,K$2:K252,"Sparse"))</f>
        <v>MD0</v>
      </c>
      <c r="B252" s="22" t="str">
        <f>J252&amp;(COUNTIF(J$2:J252,J252))</f>
        <v>Stockport1</v>
      </c>
      <c r="C252" t="s">
        <v>249</v>
      </c>
      <c r="D252" t="s">
        <v>249</v>
      </c>
      <c r="E252" s="25" t="s">
        <v>374</v>
      </c>
      <c r="F252" s="25" t="s">
        <v>384</v>
      </c>
      <c r="G252" s="25" t="s">
        <v>395</v>
      </c>
      <c r="H252" s="26" t="s">
        <v>382</v>
      </c>
      <c r="I252" s="27" t="s">
        <v>382</v>
      </c>
      <c r="J252" t="s">
        <v>249</v>
      </c>
    </row>
    <row r="253" spans="1:11" ht="14.4">
      <c r="A253" s="22" t="str">
        <f>F253&amp;(COUNTIFS(F$2:F253,F253,K$2:K253,"Sparse"))</f>
        <v>UA13</v>
      </c>
      <c r="B253" s="22" t="str">
        <f>J253&amp;(COUNTIF(J$2:J253,J253))</f>
        <v>Unitary49</v>
      </c>
      <c r="C253" t="s">
        <v>290</v>
      </c>
      <c r="D253" t="s">
        <v>290</v>
      </c>
      <c r="E253" s="25" t="s">
        <v>388</v>
      </c>
      <c r="F253" s="25" t="s">
        <v>385</v>
      </c>
      <c r="G253" s="25" t="s">
        <v>394</v>
      </c>
      <c r="H253" s="26" t="s">
        <v>382</v>
      </c>
      <c r="I253" s="27" t="s">
        <v>382</v>
      </c>
      <c r="J253" t="s">
        <v>394</v>
      </c>
    </row>
    <row r="254" spans="1:11" ht="14.4">
      <c r="A254" s="22" t="str">
        <f>F254&amp;(COUNTIFS(F$2:F254,F254,K$2:K254,"Sparse"))</f>
        <v>UA13</v>
      </c>
      <c r="B254" s="22" t="str">
        <f>J254&amp;(COUNTIF(J$2:J254,J254))</f>
        <v>Unitary50</v>
      </c>
      <c r="C254" t="s">
        <v>291</v>
      </c>
      <c r="D254" t="s">
        <v>291</v>
      </c>
      <c r="E254" s="25" t="s">
        <v>367</v>
      </c>
      <c r="F254" s="25" t="s">
        <v>385</v>
      </c>
      <c r="G254" s="25" t="s">
        <v>394</v>
      </c>
      <c r="H254" s="26" t="s">
        <v>382</v>
      </c>
      <c r="I254" s="27" t="s">
        <v>382</v>
      </c>
      <c r="J254" t="s">
        <v>394</v>
      </c>
    </row>
    <row r="255" spans="1:11" ht="14.4">
      <c r="A255" s="22" t="str">
        <f>F255&amp;(COUNTIFS(F$2:F255,F255,K$2:K255,"Sparse"))</f>
        <v>SD34</v>
      </c>
      <c r="B255" s="22" t="str">
        <f>J255&amp;(COUNTIF(J$2:J255,J255))</f>
        <v>Warwickshire4</v>
      </c>
      <c r="C255" s="27" t="s">
        <v>156</v>
      </c>
      <c r="D255" s="27" t="s">
        <v>156</v>
      </c>
      <c r="E255" s="25" t="s">
        <v>367</v>
      </c>
      <c r="F255" s="25" t="s">
        <v>379</v>
      </c>
      <c r="G255" s="25" t="s">
        <v>5</v>
      </c>
      <c r="H255" s="27" t="s">
        <v>891</v>
      </c>
      <c r="I255" s="27" t="s">
        <v>380</v>
      </c>
      <c r="J255" t="s">
        <v>330</v>
      </c>
      <c r="K255" t="s">
        <v>335</v>
      </c>
    </row>
    <row r="256" spans="1:11" ht="14.4">
      <c r="A256" s="22" t="str">
        <f>F256&amp;(COUNTIFS(F$2:F256,F256,K$2:K256,"Sparse"))</f>
        <v>SD35</v>
      </c>
      <c r="B256" s="22" t="str">
        <f>J256&amp;(COUNTIF(J$2:J256,J256))</f>
        <v>Gloucestershire6</v>
      </c>
      <c r="C256" t="s">
        <v>157</v>
      </c>
      <c r="D256" t="s">
        <v>157</v>
      </c>
      <c r="E256" s="25" t="s">
        <v>1</v>
      </c>
      <c r="F256" s="25" t="s">
        <v>379</v>
      </c>
      <c r="G256" s="25" t="s">
        <v>5</v>
      </c>
      <c r="H256" s="26" t="s">
        <v>892</v>
      </c>
      <c r="I256" s="27" t="s">
        <v>892</v>
      </c>
      <c r="J256" t="s">
        <v>312</v>
      </c>
      <c r="K256" t="s">
        <v>335</v>
      </c>
    </row>
    <row r="257" spans="1:11" ht="14.4">
      <c r="A257" s="22" t="str">
        <f>F257&amp;(COUNTIFS(F$2:F257,F257,K$2:K257,"Sparse"))</f>
        <v>SC8</v>
      </c>
      <c r="B257" s="22" t="str">
        <f>J257&amp;(COUNTIF(J$2:J257,J257))</f>
        <v>Suffolk5</v>
      </c>
      <c r="C257" t="s">
        <v>328</v>
      </c>
      <c r="D257" t="s">
        <v>328</v>
      </c>
      <c r="E257" s="25" t="s">
        <v>368</v>
      </c>
      <c r="F257" s="25" t="s">
        <v>387</v>
      </c>
      <c r="G257" s="25" t="s">
        <v>301</v>
      </c>
      <c r="H257" s="26" t="s">
        <v>380</v>
      </c>
      <c r="I257" s="27" t="s">
        <v>380</v>
      </c>
      <c r="J257" t="s">
        <v>328</v>
      </c>
      <c r="K257" t="s">
        <v>335</v>
      </c>
    </row>
    <row r="258" spans="1:11" ht="14.4">
      <c r="A258" s="22" t="str">
        <f>F258&amp;(COUNTIFS(F$2:F258,F258,K$2:K258,"Sparse"))</f>
        <v>MD0</v>
      </c>
      <c r="B258" s="22" t="str">
        <f>J258&amp;(COUNTIF(J$2:J258,J258))</f>
        <v>Sunderland1</v>
      </c>
      <c r="C258" t="s">
        <v>250</v>
      </c>
      <c r="D258" t="s">
        <v>250</v>
      </c>
      <c r="E258" s="25" t="s">
        <v>388</v>
      </c>
      <c r="F258" s="25" t="s">
        <v>384</v>
      </c>
      <c r="G258" s="25" t="s">
        <v>395</v>
      </c>
      <c r="H258" s="26" t="s">
        <v>382</v>
      </c>
      <c r="I258" s="27" t="s">
        <v>382</v>
      </c>
      <c r="J258" t="s">
        <v>250</v>
      </c>
    </row>
    <row r="259" spans="1:11" ht="14.4">
      <c r="A259" s="22" t="str">
        <f>F259&amp;(COUNTIFS(F$2:F259,F259,K$2:K259,"Sparse"))</f>
        <v>SC8</v>
      </c>
      <c r="B259" s="22" t="str">
        <f>J259&amp;(COUNTIF(J$2:J259,J259))</f>
        <v>Surrey8</v>
      </c>
      <c r="C259" t="s">
        <v>329</v>
      </c>
      <c r="D259" t="s">
        <v>329</v>
      </c>
      <c r="E259" s="25" t="s">
        <v>0</v>
      </c>
      <c r="F259" s="25" t="s">
        <v>387</v>
      </c>
      <c r="G259" s="25" t="s">
        <v>301</v>
      </c>
      <c r="H259" s="26" t="s">
        <v>382</v>
      </c>
      <c r="I259" s="27" t="s">
        <v>382</v>
      </c>
      <c r="J259" s="3" t="s">
        <v>329</v>
      </c>
    </row>
    <row r="260" spans="1:11" ht="14.4">
      <c r="A260" s="22" t="str">
        <f>F260&amp;(COUNTIFS(F$2:F260,F260,K$2:K260,"Sparse"))</f>
        <v>SD35</v>
      </c>
      <c r="B260" s="22" t="str">
        <f>J260&amp;(COUNTIF(J$2:J260,J260))</f>
        <v>Surrey9</v>
      </c>
      <c r="C260" t="s">
        <v>159</v>
      </c>
      <c r="D260" t="s">
        <v>159</v>
      </c>
      <c r="E260" s="25" t="s">
        <v>0</v>
      </c>
      <c r="F260" s="25" t="s">
        <v>379</v>
      </c>
      <c r="G260" s="25" t="s">
        <v>5</v>
      </c>
      <c r="H260" s="26" t="s">
        <v>382</v>
      </c>
      <c r="I260" s="27" t="s">
        <v>382</v>
      </c>
      <c r="J260" s="3" t="s">
        <v>329</v>
      </c>
    </row>
    <row r="261" spans="1:11" ht="14.4">
      <c r="A261" s="22" t="str">
        <f>F261&amp;(COUNTIFS(F$2:F261,F261,K$2:K261,"Sparse"))</f>
        <v>L0</v>
      </c>
      <c r="B261" s="22" t="str">
        <f>J261&amp;(COUNTIF(J$2:J261,J261))</f>
        <v>London29</v>
      </c>
      <c r="C261" t="s">
        <v>218</v>
      </c>
      <c r="D261" t="s">
        <v>218</v>
      </c>
      <c r="E261" s="25" t="s">
        <v>381</v>
      </c>
      <c r="F261" s="25" t="s">
        <v>358</v>
      </c>
      <c r="G261" s="25" t="s">
        <v>381</v>
      </c>
      <c r="H261" s="26" t="s">
        <v>382</v>
      </c>
      <c r="I261" s="27" t="s">
        <v>382</v>
      </c>
      <c r="J261" t="s">
        <v>381</v>
      </c>
    </row>
    <row r="262" spans="1:11" ht="14.4">
      <c r="A262" s="22" t="str">
        <f>F262&amp;(COUNTIFS(F$2:F262,F262,K$2:K262,"Sparse"))</f>
        <v>SD35</v>
      </c>
      <c r="B262" s="22" t="str">
        <f>J262&amp;(COUNTIF(J$2:J262,J262))</f>
        <v>Kent10</v>
      </c>
      <c r="C262" t="s">
        <v>160</v>
      </c>
      <c r="D262" t="s">
        <v>160</v>
      </c>
      <c r="E262" s="25" t="s">
        <v>0</v>
      </c>
      <c r="F262" s="25" t="s">
        <v>379</v>
      </c>
      <c r="G262" s="25" t="s">
        <v>5</v>
      </c>
      <c r="H262" s="26" t="s">
        <v>891</v>
      </c>
      <c r="I262" s="27" t="s">
        <v>380</v>
      </c>
      <c r="J262" t="s">
        <v>315</v>
      </c>
    </row>
    <row r="263" spans="1:11" ht="14.4">
      <c r="A263" s="22" t="str">
        <f>F263&amp;(COUNTIFS(F$2:F263,F263,K$2:K263,"Sparse"))</f>
        <v>UA13</v>
      </c>
      <c r="B263" s="22" t="str">
        <f>J263&amp;(COUNTIF(J$2:J263,J263))</f>
        <v>Unitary51</v>
      </c>
      <c r="C263" s="27" t="s">
        <v>292</v>
      </c>
      <c r="D263" s="27" t="s">
        <v>292</v>
      </c>
      <c r="E263" s="25" t="s">
        <v>1</v>
      </c>
      <c r="F263" s="25" t="s">
        <v>385</v>
      </c>
      <c r="G263" s="25" t="s">
        <v>394</v>
      </c>
      <c r="H263" s="27" t="s">
        <v>382</v>
      </c>
      <c r="I263" s="27" t="s">
        <v>382</v>
      </c>
      <c r="J263" t="s">
        <v>394</v>
      </c>
    </row>
    <row r="264" spans="1:11" ht="14.4">
      <c r="A264" s="22" t="str">
        <f>F264&amp;(COUNTIFS(F$2:F264,F264,K$2:K264,"Sparse"))</f>
        <v>MD0</v>
      </c>
      <c r="B264" s="22" t="str">
        <f>J264&amp;(COUNTIF(J$2:J264,J264))</f>
        <v>Tameside1</v>
      </c>
      <c r="C264" t="s">
        <v>251</v>
      </c>
      <c r="D264" t="s">
        <v>251</v>
      </c>
      <c r="E264" s="25" t="s">
        <v>374</v>
      </c>
      <c r="F264" s="25" t="s">
        <v>384</v>
      </c>
      <c r="G264" s="25" t="s">
        <v>395</v>
      </c>
      <c r="H264" s="26" t="s">
        <v>382</v>
      </c>
      <c r="I264" s="27" t="s">
        <v>382</v>
      </c>
      <c r="J264" t="s">
        <v>251</v>
      </c>
    </row>
    <row r="265" spans="1:11" ht="14.4">
      <c r="A265" s="22" t="str">
        <f>F265&amp;(COUNTIFS(F$2:F265,F265,K$2:K265,"Sparse"))</f>
        <v>SD35</v>
      </c>
      <c r="B265" s="22" t="str">
        <f>J265&amp;(COUNTIF(J$2:J265,J265))</f>
        <v>Staffordshire9</v>
      </c>
      <c r="C265" s="27" t="s">
        <v>161</v>
      </c>
      <c r="D265" s="27" t="s">
        <v>161</v>
      </c>
      <c r="E265" s="25" t="s">
        <v>367</v>
      </c>
      <c r="F265" s="25" t="s">
        <v>379</v>
      </c>
      <c r="G265" s="25" t="s">
        <v>5</v>
      </c>
      <c r="H265" s="27" t="s">
        <v>382</v>
      </c>
      <c r="I265" s="27" t="s">
        <v>382</v>
      </c>
      <c r="J265" t="s">
        <v>327</v>
      </c>
    </row>
    <row r="266" spans="1:11" ht="14.4">
      <c r="A266" s="22" t="str">
        <f>F266&amp;(COUNTIFS(F$2:F266,F266,K$2:K266,"Sparse"))</f>
        <v>SD35</v>
      </c>
      <c r="B266" s="22" t="str">
        <f>J266&amp;(COUNTIF(J$2:J266,J266))</f>
        <v>Surrey10</v>
      </c>
      <c r="C266" t="s">
        <v>162</v>
      </c>
      <c r="D266" t="s">
        <v>162</v>
      </c>
      <c r="E266" s="25" t="s">
        <v>0</v>
      </c>
      <c r="F266" s="25" t="s">
        <v>379</v>
      </c>
      <c r="G266" s="25" t="s">
        <v>5</v>
      </c>
      <c r="H266" s="26" t="s">
        <v>892</v>
      </c>
      <c r="I266" s="27" t="s">
        <v>892</v>
      </c>
      <c r="J266" t="s">
        <v>329</v>
      </c>
    </row>
    <row r="267" spans="1:11" ht="14.4">
      <c r="A267" s="22" t="str">
        <f>F267&amp;(COUNTIFS(F$2:F267,F267,K$2:K267,"Sparse"))</f>
        <v>SD36</v>
      </c>
      <c r="B267" s="22" t="str">
        <f>J267&amp;(COUNTIF(J$2:J267,J267))</f>
        <v>Devon7</v>
      </c>
      <c r="C267" t="s">
        <v>164</v>
      </c>
      <c r="D267" t="s">
        <v>164</v>
      </c>
      <c r="E267" s="25" t="s">
        <v>1</v>
      </c>
      <c r="F267" s="25" t="s">
        <v>379</v>
      </c>
      <c r="G267" s="25" t="s">
        <v>5</v>
      </c>
      <c r="H267" s="26" t="s">
        <v>891</v>
      </c>
      <c r="I267" s="27" t="s">
        <v>380</v>
      </c>
      <c r="J267" t="s">
        <v>308</v>
      </c>
      <c r="K267" t="s">
        <v>335</v>
      </c>
    </row>
    <row r="268" spans="1:11" ht="14.4">
      <c r="A268" s="22" t="str">
        <f>F268&amp;(COUNTIFS(F$2:F268,F268,K$2:K268,"Sparse"))</f>
        <v>UA13</v>
      </c>
      <c r="B268" s="22" t="str">
        <f>J268&amp;(COUNTIF(J$2:J268,J268))</f>
        <v>Unitary52</v>
      </c>
      <c r="C268" t="s">
        <v>814</v>
      </c>
      <c r="D268" t="s">
        <v>814</v>
      </c>
      <c r="E268" s="25" t="s">
        <v>367</v>
      </c>
      <c r="F268" s="25" t="s">
        <v>385</v>
      </c>
      <c r="G268" s="25" t="s">
        <v>394</v>
      </c>
      <c r="H268" s="26" t="s">
        <v>382</v>
      </c>
      <c r="I268" s="27" t="s">
        <v>382</v>
      </c>
      <c r="J268" t="s">
        <v>394</v>
      </c>
    </row>
    <row r="269" spans="1:11" ht="14.4">
      <c r="A269" s="22" t="str">
        <f>F269&amp;(COUNTIFS(F$2:F269,F269,K$2:K269,"Sparse"))</f>
        <v>SD36</v>
      </c>
      <c r="B269" s="22" t="str">
        <f>J269&amp;(COUNTIF(J$2:J269,J269))</f>
        <v>Essex12</v>
      </c>
      <c r="C269" t="s">
        <v>165</v>
      </c>
      <c r="D269" t="s">
        <v>165</v>
      </c>
      <c r="E269" s="25" t="s">
        <v>368</v>
      </c>
      <c r="F269" s="25" t="s">
        <v>379</v>
      </c>
      <c r="G269" s="25" t="s">
        <v>5</v>
      </c>
      <c r="H269" s="26" t="s">
        <v>891</v>
      </c>
      <c r="I269" s="27" t="s">
        <v>380</v>
      </c>
      <c r="J269" s="3" t="s">
        <v>311</v>
      </c>
    </row>
    <row r="270" spans="1:11" ht="14.4">
      <c r="A270" s="22" t="str">
        <f>F270&amp;(COUNTIFS(F$2:F270,F270,K$2:K270,"Sparse"))</f>
        <v>SD36</v>
      </c>
      <c r="B270" s="22" t="str">
        <f>J270&amp;(COUNTIF(J$2:J270,J270))</f>
        <v>Hampshire11</v>
      </c>
      <c r="C270" t="s">
        <v>166</v>
      </c>
      <c r="D270" t="s">
        <v>166</v>
      </c>
      <c r="E270" s="25" t="s">
        <v>0</v>
      </c>
      <c r="F270" s="25" t="s">
        <v>379</v>
      </c>
      <c r="G270" s="25" t="s">
        <v>5</v>
      </c>
      <c r="H270" s="26" t="s">
        <v>892</v>
      </c>
      <c r="I270" s="27" t="s">
        <v>892</v>
      </c>
      <c r="J270" t="s">
        <v>313</v>
      </c>
    </row>
    <row r="271" spans="1:11" ht="14.4">
      <c r="A271" s="22" t="str">
        <f>F271&amp;(COUNTIFS(F$2:F271,F271,K$2:K271,"Sparse"))</f>
        <v>SD37</v>
      </c>
      <c r="B271" s="22" t="str">
        <f>J271&amp;(COUNTIF(J$2:J271,J271))</f>
        <v>Gloucestershire7</v>
      </c>
      <c r="C271" t="s">
        <v>167</v>
      </c>
      <c r="D271" t="s">
        <v>167</v>
      </c>
      <c r="E271" s="25" t="s">
        <v>1</v>
      </c>
      <c r="F271" s="25" t="s">
        <v>379</v>
      </c>
      <c r="G271" s="25" t="s">
        <v>5</v>
      </c>
      <c r="H271" s="26" t="s">
        <v>891</v>
      </c>
      <c r="I271" s="27" t="s">
        <v>380</v>
      </c>
      <c r="J271" t="s">
        <v>312</v>
      </c>
      <c r="K271" t="s">
        <v>335</v>
      </c>
    </row>
    <row r="272" spans="1:11" ht="14.4">
      <c r="A272" s="22" t="str">
        <f>F272&amp;(COUNTIFS(F$2:F272,F272,K$2:K272,"Sparse"))</f>
        <v>SD37</v>
      </c>
      <c r="B272" s="22" t="str">
        <f>J272&amp;(COUNTIF(J$2:J272,J272))</f>
        <v>Kent11</v>
      </c>
      <c r="C272" t="s">
        <v>168</v>
      </c>
      <c r="D272" t="s">
        <v>168</v>
      </c>
      <c r="E272" s="25" t="s">
        <v>0</v>
      </c>
      <c r="F272" s="25" t="s">
        <v>379</v>
      </c>
      <c r="G272" s="25" t="s">
        <v>5</v>
      </c>
      <c r="H272" s="26" t="s">
        <v>382</v>
      </c>
      <c r="I272" s="27" t="s">
        <v>382</v>
      </c>
      <c r="J272" t="s">
        <v>315</v>
      </c>
    </row>
    <row r="273" spans="1:11" ht="14.4">
      <c r="A273" s="22" t="str">
        <f>F273&amp;(COUNTIFS(F$2:F273,F273,K$2:K273,"Sparse"))</f>
        <v>SD37</v>
      </c>
      <c r="B273" s="22" t="str">
        <f>J273&amp;(COUNTIF(J$2:J273,J273))</f>
        <v>Hertfordshire9</v>
      </c>
      <c r="C273" t="s">
        <v>169</v>
      </c>
      <c r="D273" t="s">
        <v>169</v>
      </c>
      <c r="E273" s="25" t="s">
        <v>368</v>
      </c>
      <c r="F273" s="25" t="s">
        <v>379</v>
      </c>
      <c r="G273" s="25" t="s">
        <v>5</v>
      </c>
      <c r="H273" s="26" t="s">
        <v>382</v>
      </c>
      <c r="I273" s="27" t="s">
        <v>382</v>
      </c>
      <c r="J273" t="s">
        <v>314</v>
      </c>
    </row>
    <row r="274" spans="1:11" ht="14.4">
      <c r="A274" s="22" t="str">
        <f>F274&amp;(COUNTIFS(F$2:F274,F274,K$2:K274,"Sparse"))</f>
        <v>UA13</v>
      </c>
      <c r="B274" s="22" t="str">
        <f>J274&amp;(COUNTIF(J$2:J274,J274))</f>
        <v>Unitary53</v>
      </c>
      <c r="C274" t="s">
        <v>293</v>
      </c>
      <c r="D274" t="s">
        <v>293</v>
      </c>
      <c r="E274" s="25" t="s">
        <v>368</v>
      </c>
      <c r="F274" s="25" t="s">
        <v>385</v>
      </c>
      <c r="G274" s="25" t="s">
        <v>394</v>
      </c>
      <c r="H274" s="26" t="s">
        <v>382</v>
      </c>
      <c r="I274" s="27" t="s">
        <v>382</v>
      </c>
      <c r="J274" s="3" t="s">
        <v>394</v>
      </c>
    </row>
    <row r="275" spans="1:11" ht="14.4">
      <c r="A275" s="22" t="str">
        <f>F275&amp;(COUNTIFS(F$2:F275,F275,K$2:K275,"Sparse"))</f>
        <v>SD37</v>
      </c>
      <c r="B275" s="22" t="str">
        <f>J275&amp;(COUNTIF(J$2:J275,J275))</f>
        <v>Kent12</v>
      </c>
      <c r="C275" t="s">
        <v>349</v>
      </c>
      <c r="D275" t="s">
        <v>349</v>
      </c>
      <c r="E275" s="25" t="s">
        <v>0</v>
      </c>
      <c r="F275" s="25" t="s">
        <v>379</v>
      </c>
      <c r="G275" s="25" t="s">
        <v>5</v>
      </c>
      <c r="H275" s="26" t="s">
        <v>892</v>
      </c>
      <c r="I275" s="27" t="s">
        <v>892</v>
      </c>
      <c r="J275" t="s">
        <v>315</v>
      </c>
    </row>
    <row r="276" spans="1:11" ht="14.4">
      <c r="A276" s="22" t="str">
        <f>F276&amp;(COUNTIFS(F$2:F276,F276,K$2:K276,"Sparse"))</f>
        <v>UA13</v>
      </c>
      <c r="B276" s="22" t="str">
        <f>J276&amp;(COUNTIF(J$2:J276,J276))</f>
        <v>Unitary54</v>
      </c>
      <c r="C276" t="s">
        <v>294</v>
      </c>
      <c r="D276" t="s">
        <v>294</v>
      </c>
      <c r="E276" s="25" t="s">
        <v>1</v>
      </c>
      <c r="F276" s="25" t="s">
        <v>385</v>
      </c>
      <c r="G276" s="25" t="s">
        <v>394</v>
      </c>
      <c r="H276" s="26" t="s">
        <v>382</v>
      </c>
      <c r="I276" s="27" t="s">
        <v>382</v>
      </c>
      <c r="J276" t="s">
        <v>394</v>
      </c>
    </row>
    <row r="277" spans="1:11" ht="14.4">
      <c r="A277" s="22" t="str">
        <f>F277&amp;(COUNTIFS(F$2:F277,F277,K$2:K277,"Sparse"))</f>
        <v>SD38</v>
      </c>
      <c r="B277" s="22" t="str">
        <f>J277&amp;(COUNTIF(J$2:J277,J277))</f>
        <v>Devon8</v>
      </c>
      <c r="C277" t="s">
        <v>170</v>
      </c>
      <c r="D277" t="s">
        <v>170</v>
      </c>
      <c r="E277" s="25" t="s">
        <v>1</v>
      </c>
      <c r="F277" s="25" t="s">
        <v>379</v>
      </c>
      <c r="G277" s="25" t="s">
        <v>5</v>
      </c>
      <c r="H277" s="26" t="s">
        <v>891</v>
      </c>
      <c r="I277" s="27" t="s">
        <v>380</v>
      </c>
      <c r="J277" t="s">
        <v>308</v>
      </c>
      <c r="K277" t="s">
        <v>335</v>
      </c>
    </row>
    <row r="278" spans="1:11" ht="14.4">
      <c r="A278" s="22" t="str">
        <f>F278&amp;(COUNTIFS(F$2:F278,F278,K$2:K278,"Sparse"))</f>
        <v>L0</v>
      </c>
      <c r="B278" s="22" t="str">
        <f>J278&amp;(COUNTIF(J$2:J278,J278))</f>
        <v>London30</v>
      </c>
      <c r="C278" t="s">
        <v>219</v>
      </c>
      <c r="D278" t="s">
        <v>219</v>
      </c>
      <c r="E278" s="25" t="s">
        <v>381</v>
      </c>
      <c r="F278" s="25" t="s">
        <v>358</v>
      </c>
      <c r="G278" s="25" t="s">
        <v>381</v>
      </c>
      <c r="H278" s="26" t="s">
        <v>382</v>
      </c>
      <c r="I278" s="27" t="s">
        <v>382</v>
      </c>
      <c r="J278" t="s">
        <v>381</v>
      </c>
    </row>
    <row r="279" spans="1:11" ht="14.4">
      <c r="A279" s="22" t="str">
        <f>F279&amp;(COUNTIFS(F$2:F279,F279,K$2:K279,"Sparse"))</f>
        <v>MD0</v>
      </c>
      <c r="B279" s="22" t="str">
        <f>J279&amp;(COUNTIF(J$2:J279,J279))</f>
        <v>Trafford1</v>
      </c>
      <c r="C279" t="s">
        <v>252</v>
      </c>
      <c r="D279" t="s">
        <v>252</v>
      </c>
      <c r="E279" s="25" t="s">
        <v>374</v>
      </c>
      <c r="F279" s="25" t="s">
        <v>384</v>
      </c>
      <c r="G279" s="25" t="s">
        <v>395</v>
      </c>
      <c r="H279" s="26" t="s">
        <v>382</v>
      </c>
      <c r="I279" s="27" t="s">
        <v>382</v>
      </c>
      <c r="J279" t="s">
        <v>252</v>
      </c>
    </row>
    <row r="280" spans="1:11" ht="14.4">
      <c r="A280" s="22" t="str">
        <f>F280&amp;(COUNTIFS(F$2:F280,F280,K$2:K280,"Sparse"))</f>
        <v>SD38</v>
      </c>
      <c r="B280" s="22" t="str">
        <f>J280&amp;(COUNTIF(J$2:J280,J280))</f>
        <v>Kent13</v>
      </c>
      <c r="C280" t="s">
        <v>171</v>
      </c>
      <c r="D280" t="s">
        <v>171</v>
      </c>
      <c r="E280" s="25" t="s">
        <v>0</v>
      </c>
      <c r="F280" s="25" t="s">
        <v>379</v>
      </c>
      <c r="G280" s="25" t="s">
        <v>5</v>
      </c>
      <c r="H280" s="26" t="s">
        <v>892</v>
      </c>
      <c r="I280" s="27" t="s">
        <v>892</v>
      </c>
      <c r="J280" s="3" t="s">
        <v>315</v>
      </c>
    </row>
    <row r="281" spans="1:11" ht="14.4">
      <c r="A281" s="22" t="str">
        <f>F281&amp;(COUNTIFS(F$2:F281,F281,K$2:K281,"Sparse"))</f>
        <v>SD39</v>
      </c>
      <c r="B281" s="22" t="str">
        <f>J281&amp;(COUNTIF(J$2:J281,J281))</f>
        <v>Essex13</v>
      </c>
      <c r="C281" t="s">
        <v>172</v>
      </c>
      <c r="D281" t="s">
        <v>172</v>
      </c>
      <c r="E281" s="25" t="s">
        <v>368</v>
      </c>
      <c r="F281" s="25" t="s">
        <v>379</v>
      </c>
      <c r="G281" s="25" t="s">
        <v>5</v>
      </c>
      <c r="H281" s="26" t="s">
        <v>891</v>
      </c>
      <c r="I281" s="27" t="s">
        <v>380</v>
      </c>
      <c r="J281" t="s">
        <v>311</v>
      </c>
      <c r="K281" t="s">
        <v>335</v>
      </c>
    </row>
    <row r="282" spans="1:11" ht="14.4">
      <c r="A282" s="22" t="str">
        <f>F282&amp;(COUNTIFS(F$2:F282,F282,K$2:K282,"Sparse"))</f>
        <v>SD40</v>
      </c>
      <c r="B282" s="22" t="str">
        <f>J282&amp;(COUNTIF(J$2:J282,J282))</f>
        <v>Oxfordshire5</v>
      </c>
      <c r="C282" t="s">
        <v>173</v>
      </c>
      <c r="D282" t="s">
        <v>173</v>
      </c>
      <c r="E282" s="25" t="s">
        <v>0</v>
      </c>
      <c r="F282" s="25" t="s">
        <v>379</v>
      </c>
      <c r="G282" s="25" t="s">
        <v>5</v>
      </c>
      <c r="H282" s="26" t="s">
        <v>891</v>
      </c>
      <c r="I282" s="27" t="s">
        <v>380</v>
      </c>
      <c r="J282" s="3" t="s">
        <v>324</v>
      </c>
      <c r="K282" t="s">
        <v>335</v>
      </c>
    </row>
    <row r="283" spans="1:11" ht="14.4">
      <c r="A283" s="22" t="str">
        <f>F283&amp;(COUNTIFS(F$2:F283,F283,K$2:K283,"Sparse"))</f>
        <v>MD0</v>
      </c>
      <c r="B283" s="22" t="str">
        <f>J283&amp;(COUNTIF(J$2:J283,J283))</f>
        <v>Wakefield1</v>
      </c>
      <c r="C283" t="s">
        <v>253</v>
      </c>
      <c r="D283" t="s">
        <v>253</v>
      </c>
      <c r="E283" s="25" t="s">
        <v>383</v>
      </c>
      <c r="F283" s="25" t="s">
        <v>384</v>
      </c>
      <c r="G283" s="25" t="s">
        <v>395</v>
      </c>
      <c r="H283" s="26" t="s">
        <v>382</v>
      </c>
      <c r="I283" s="27" t="s">
        <v>382</v>
      </c>
      <c r="J283" t="s">
        <v>253</v>
      </c>
    </row>
    <row r="284" spans="1:11" ht="14.4">
      <c r="A284" s="22" t="str">
        <f>F284&amp;(COUNTIFS(F$2:F284,F284,K$2:K284,"Sparse"))</f>
        <v>MD0</v>
      </c>
      <c r="B284" s="22" t="str">
        <f>J284&amp;(COUNTIF(J$2:J284,J284))</f>
        <v>Walsall1</v>
      </c>
      <c r="C284" t="s">
        <v>254</v>
      </c>
      <c r="D284" t="s">
        <v>254</v>
      </c>
      <c r="E284" s="25" t="s">
        <v>367</v>
      </c>
      <c r="F284" s="25" t="s">
        <v>384</v>
      </c>
      <c r="G284" s="25" t="s">
        <v>395</v>
      </c>
      <c r="H284" s="26" t="s">
        <v>382</v>
      </c>
      <c r="I284" s="27" t="s">
        <v>382</v>
      </c>
      <c r="J284" t="s">
        <v>254</v>
      </c>
    </row>
    <row r="285" spans="1:11" ht="14.4">
      <c r="A285" s="22" t="str">
        <f>F285&amp;(COUNTIFS(F$2:F285,F285,K$2:K285,"Sparse"))</f>
        <v>L0</v>
      </c>
      <c r="B285" s="22" t="str">
        <f>J285&amp;(COUNTIF(J$2:J285,J285))</f>
        <v>London31</v>
      </c>
      <c r="C285" t="s">
        <v>220</v>
      </c>
      <c r="D285" t="s">
        <v>220</v>
      </c>
      <c r="E285" s="25" t="s">
        <v>381</v>
      </c>
      <c r="F285" s="25" t="s">
        <v>358</v>
      </c>
      <c r="G285" s="25" t="s">
        <v>381</v>
      </c>
      <c r="H285" s="26" t="s">
        <v>382</v>
      </c>
      <c r="I285" s="27" t="s">
        <v>382</v>
      </c>
      <c r="J285" t="s">
        <v>381</v>
      </c>
    </row>
    <row r="286" spans="1:11" ht="14.4">
      <c r="A286" s="22" t="str">
        <f>F286&amp;(COUNTIFS(F$2:F286,F286,K$2:K286,"Sparse"))</f>
        <v>L0</v>
      </c>
      <c r="B286" s="22" t="str">
        <f>J286&amp;(COUNTIF(J$2:J286,J286))</f>
        <v>London32</v>
      </c>
      <c r="C286" t="s">
        <v>221</v>
      </c>
      <c r="D286" t="s">
        <v>221</v>
      </c>
      <c r="E286" s="25" t="s">
        <v>381</v>
      </c>
      <c r="F286" s="25" t="s">
        <v>358</v>
      </c>
      <c r="G286" s="25" t="s">
        <v>381</v>
      </c>
      <c r="H286" s="26" t="s">
        <v>382</v>
      </c>
      <c r="I286" s="27" t="s">
        <v>382</v>
      </c>
      <c r="J286" t="s">
        <v>381</v>
      </c>
    </row>
    <row r="287" spans="1:11" ht="14.4">
      <c r="A287" s="22" t="str">
        <f>F287&amp;(COUNTIFS(F$2:F287,F287,K$2:K287,"Sparse"))</f>
        <v>UA13</v>
      </c>
      <c r="B287" s="22" t="str">
        <f>J287&amp;(COUNTIF(J$2:J287,J287))</f>
        <v>Unitary55</v>
      </c>
      <c r="C287" t="s">
        <v>295</v>
      </c>
      <c r="D287" t="s">
        <v>295</v>
      </c>
      <c r="E287" s="25" t="s">
        <v>374</v>
      </c>
      <c r="F287" s="25" t="s">
        <v>385</v>
      </c>
      <c r="G287" s="25" t="s">
        <v>394</v>
      </c>
      <c r="H287" s="26" t="s">
        <v>382</v>
      </c>
      <c r="I287" s="27" t="s">
        <v>382</v>
      </c>
      <c r="J287" t="s">
        <v>394</v>
      </c>
    </row>
    <row r="288" spans="1:11" ht="14.4">
      <c r="A288" s="22" t="str">
        <f>F288&amp;(COUNTIFS(F$2:F288,F288,K$2:K288,"Sparse"))</f>
        <v>SD40</v>
      </c>
      <c r="B288" s="22" t="str">
        <f>J288&amp;(COUNTIF(J$2:J288,J288))</f>
        <v>Warwickshire5</v>
      </c>
      <c r="C288" t="s">
        <v>174</v>
      </c>
      <c r="D288" t="s">
        <v>174</v>
      </c>
      <c r="E288" s="25" t="s">
        <v>367</v>
      </c>
      <c r="F288" s="25" t="s">
        <v>379</v>
      </c>
      <c r="G288" s="25" t="s">
        <v>5</v>
      </c>
      <c r="H288" s="26" t="s">
        <v>382</v>
      </c>
      <c r="I288" s="27" t="s">
        <v>382</v>
      </c>
      <c r="J288" t="s">
        <v>330</v>
      </c>
    </row>
    <row r="289" spans="1:11" ht="14.4">
      <c r="A289" s="22" t="str">
        <f>F289&amp;(COUNTIFS(F$2:F289,F289,K$2:K289,"Sparse"))</f>
        <v>SC8</v>
      </c>
      <c r="B289" s="22" t="str">
        <f>J289&amp;(COUNTIF(J$2:J289,J289))</f>
        <v>Warwickshire6</v>
      </c>
      <c r="C289" t="s">
        <v>330</v>
      </c>
      <c r="D289" t="s">
        <v>330</v>
      </c>
      <c r="E289" s="25" t="s">
        <v>367</v>
      </c>
      <c r="F289" s="25" t="s">
        <v>387</v>
      </c>
      <c r="G289" s="25" t="s">
        <v>301</v>
      </c>
      <c r="H289" s="26" t="s">
        <v>892</v>
      </c>
      <c r="I289" s="27" t="s">
        <v>892</v>
      </c>
      <c r="J289" t="s">
        <v>330</v>
      </c>
    </row>
    <row r="290" spans="1:11" ht="14.4">
      <c r="A290" s="22" t="str">
        <f>F290&amp;(COUNTIFS(F$2:F290,F290,K$2:K290,"Sparse"))</f>
        <v>SD40</v>
      </c>
      <c r="B290" s="22" t="str">
        <f>J290&amp;(COUNTIF(J$2:J290,J290))</f>
        <v>Hertfordshire10</v>
      </c>
      <c r="C290" t="s">
        <v>175</v>
      </c>
      <c r="D290" t="s">
        <v>175</v>
      </c>
      <c r="E290" s="25" t="s">
        <v>368</v>
      </c>
      <c r="F290" s="25" t="s">
        <v>379</v>
      </c>
      <c r="G290" s="25" t="s">
        <v>5</v>
      </c>
      <c r="H290" s="26" t="s">
        <v>382</v>
      </c>
      <c r="I290" s="27" t="s">
        <v>382</v>
      </c>
      <c r="J290" t="s">
        <v>314</v>
      </c>
    </row>
    <row r="291" spans="1:11" ht="14.4">
      <c r="A291" s="22" t="str">
        <f>F291&amp;(COUNTIFS(F$2:F291,F291,K$2:K291,"Sparse"))</f>
        <v>SD40</v>
      </c>
      <c r="B291" s="22" t="str">
        <f>J291&amp;(COUNTIF(J$2:J291,J291))</f>
        <v>Surrey11</v>
      </c>
      <c r="C291" t="s">
        <v>177</v>
      </c>
      <c r="D291" t="s">
        <v>177</v>
      </c>
      <c r="E291" s="25" t="s">
        <v>0</v>
      </c>
      <c r="F291" s="25" t="s">
        <v>379</v>
      </c>
      <c r="G291" s="25" t="s">
        <v>5</v>
      </c>
      <c r="H291" s="26" t="s">
        <v>891</v>
      </c>
      <c r="I291" s="27" t="s">
        <v>380</v>
      </c>
      <c r="J291" t="s">
        <v>329</v>
      </c>
    </row>
    <row r="292" spans="1:11" ht="14.4">
      <c r="A292" s="22" t="str">
        <f>F292&amp;(COUNTIFS(F$2:F292,F292,K$2:K292,"Sparse"))</f>
        <v>SD41</v>
      </c>
      <c r="B292" s="22" t="str">
        <f>J292&amp;(COUNTIF(J$2:J292,J292))</f>
        <v>East Sussex6</v>
      </c>
      <c r="C292" t="s">
        <v>178</v>
      </c>
      <c r="D292" t="s">
        <v>178</v>
      </c>
      <c r="E292" s="25" t="s">
        <v>0</v>
      </c>
      <c r="F292" s="25" t="s">
        <v>379</v>
      </c>
      <c r="G292" s="25" t="s">
        <v>5</v>
      </c>
      <c r="H292" s="26" t="s">
        <v>891</v>
      </c>
      <c r="I292" s="27" t="s">
        <v>380</v>
      </c>
      <c r="J292" t="s">
        <v>310</v>
      </c>
      <c r="K292" t="s">
        <v>335</v>
      </c>
    </row>
    <row r="293" spans="1:11" ht="14.4">
      <c r="A293" s="22" t="str">
        <f>F293&amp;(COUNTIFS(F$2:F293,F293,K$2:K293,"Sparse"))</f>
        <v>SD41</v>
      </c>
      <c r="B293" s="22" t="str">
        <f>J293&amp;(COUNTIF(J$2:J293,J293))</f>
        <v>Hertfordshire11</v>
      </c>
      <c r="C293" t="s">
        <v>180</v>
      </c>
      <c r="D293" t="s">
        <v>180</v>
      </c>
      <c r="E293" s="25" t="s">
        <v>368</v>
      </c>
      <c r="F293" s="25" t="s">
        <v>379</v>
      </c>
      <c r="G293" s="25" t="s">
        <v>5</v>
      </c>
      <c r="H293" s="26" t="s">
        <v>382</v>
      </c>
      <c r="I293" s="27" t="s">
        <v>382</v>
      </c>
      <c r="J293" s="3" t="s">
        <v>314</v>
      </c>
    </row>
    <row r="294" spans="1:11" ht="14.4">
      <c r="A294" s="22" t="str">
        <f>F294&amp;(COUNTIFS(F$2:F294,F294,K$2:K294,"Sparse"))</f>
        <v>UA13</v>
      </c>
      <c r="B294" s="22" t="str">
        <f>J294&amp;(COUNTIF(J$2:J294,J294))</f>
        <v>Unitary56</v>
      </c>
      <c r="C294" t="s">
        <v>296</v>
      </c>
      <c r="D294" t="s">
        <v>296</v>
      </c>
      <c r="E294" s="25" t="s">
        <v>0</v>
      </c>
      <c r="F294" s="25" t="s">
        <v>385</v>
      </c>
      <c r="G294" s="25" t="s">
        <v>394</v>
      </c>
      <c r="H294" s="26" t="s">
        <v>892</v>
      </c>
      <c r="I294" s="27" t="s">
        <v>892</v>
      </c>
      <c r="J294" t="s">
        <v>394</v>
      </c>
    </row>
    <row r="295" spans="1:11" ht="14.4">
      <c r="A295" s="22" t="str">
        <f>F295&amp;(COUNTIFS(F$2:F295,F295,K$2:K295,"Sparse"))</f>
        <v>SD42</v>
      </c>
      <c r="B295" s="22" t="str">
        <f>J295&amp;(COUNTIF(J$2:J295,J295))</f>
        <v>Devon9</v>
      </c>
      <c r="C295" s="27" t="s">
        <v>181</v>
      </c>
      <c r="D295" s="27" t="s">
        <v>181</v>
      </c>
      <c r="E295" s="25" t="s">
        <v>1</v>
      </c>
      <c r="F295" s="25" t="s">
        <v>379</v>
      </c>
      <c r="G295" s="25" t="s">
        <v>5</v>
      </c>
      <c r="H295" s="27" t="s">
        <v>891</v>
      </c>
      <c r="I295" s="27" t="s">
        <v>380</v>
      </c>
      <c r="J295" t="s">
        <v>308</v>
      </c>
      <c r="K295" t="s">
        <v>335</v>
      </c>
    </row>
    <row r="296" spans="1:11" ht="14.4">
      <c r="A296" s="22" t="str">
        <f>F296&amp;(COUNTIFS(F$2:F296,F296,K$2:K296,"Sparse"))</f>
        <v>SD42</v>
      </c>
      <c r="B296" s="22" t="str">
        <f>J296&amp;(COUNTIF(J$2:J296,J296))</f>
        <v>Lancashire12</v>
      </c>
      <c r="C296" t="s">
        <v>183</v>
      </c>
      <c r="D296" t="s">
        <v>183</v>
      </c>
      <c r="E296" s="25" t="s">
        <v>374</v>
      </c>
      <c r="F296" s="25" t="s">
        <v>379</v>
      </c>
      <c r="G296" s="25" t="s">
        <v>5</v>
      </c>
      <c r="H296" s="26" t="s">
        <v>892</v>
      </c>
      <c r="I296" s="27" t="s">
        <v>892</v>
      </c>
      <c r="J296" t="s">
        <v>316</v>
      </c>
    </row>
    <row r="297" spans="1:11" ht="14.4">
      <c r="A297" s="22" t="str">
        <f>F297&amp;(COUNTIFS(F$2:F297,F297,K$2:K297,"Sparse"))</f>
        <v>SD43</v>
      </c>
      <c r="B297" s="22" t="str">
        <f>J297&amp;(COUNTIF(J$2:J297,J297))</f>
        <v>Lincolnshire8</v>
      </c>
      <c r="C297" t="s">
        <v>184</v>
      </c>
      <c r="D297" t="s">
        <v>184</v>
      </c>
      <c r="E297" s="25" t="s">
        <v>366</v>
      </c>
      <c r="F297" s="25" t="s">
        <v>379</v>
      </c>
      <c r="G297" s="25" t="s">
        <v>5</v>
      </c>
      <c r="H297" s="26" t="s">
        <v>891</v>
      </c>
      <c r="I297" s="27" t="s">
        <v>380</v>
      </c>
      <c r="J297" t="s">
        <v>318</v>
      </c>
      <c r="K297" t="s">
        <v>335</v>
      </c>
    </row>
    <row r="298" spans="1:11" ht="14.4">
      <c r="A298" s="22" t="str">
        <f>F298&amp;(COUNTIFS(F$2:F298,F298,K$2:K298,"Sparse"))</f>
        <v>UA14</v>
      </c>
      <c r="B298" s="22" t="str">
        <f>J298&amp;(COUNTIF(J$2:J298,J298))</f>
        <v>Unitary57</v>
      </c>
      <c r="C298" t="s">
        <v>898</v>
      </c>
      <c r="D298" t="s">
        <v>898</v>
      </c>
      <c r="E298" s="25" t="s">
        <v>366</v>
      </c>
      <c r="F298" s="25" t="s">
        <v>385</v>
      </c>
      <c r="G298" s="25" t="s">
        <v>394</v>
      </c>
      <c r="H298" s="26" t="s">
        <v>892</v>
      </c>
      <c r="I298" s="27" t="s">
        <v>892</v>
      </c>
      <c r="J298" t="s">
        <v>394</v>
      </c>
      <c r="K298" t="s">
        <v>335</v>
      </c>
    </row>
    <row r="299" spans="1:11" ht="14.4">
      <c r="A299" s="22" t="str">
        <f>F299&amp;(COUNTIFS(F$2:F299,F299,K$2:K299,"Sparse"))</f>
        <v>SD44</v>
      </c>
      <c r="B299" s="22" t="str">
        <f>J299&amp;(COUNTIF(J$2:J299,J299))</f>
        <v>Oxfordshire6</v>
      </c>
      <c r="C299" t="s">
        <v>185</v>
      </c>
      <c r="D299" t="s">
        <v>185</v>
      </c>
      <c r="E299" s="25" t="s">
        <v>0</v>
      </c>
      <c r="F299" s="25" t="s">
        <v>379</v>
      </c>
      <c r="G299" s="25" t="s">
        <v>5</v>
      </c>
      <c r="H299" s="26" t="s">
        <v>891</v>
      </c>
      <c r="I299" s="27" t="s">
        <v>380</v>
      </c>
      <c r="J299" t="s">
        <v>324</v>
      </c>
      <c r="K299" t="s">
        <v>335</v>
      </c>
    </row>
    <row r="300" spans="1:11" ht="14.4">
      <c r="A300" s="22" t="str">
        <f>F300&amp;(COUNTIFS(F$2:F300,F300,K$2:K300,"Sparse"))</f>
        <v>SD45</v>
      </c>
      <c r="B300" s="22" t="str">
        <f>J300&amp;(COUNTIF(J$2:J300,J300))</f>
        <v>Suffolk6</v>
      </c>
      <c r="C300" t="s">
        <v>895</v>
      </c>
      <c r="D300" t="s">
        <v>895</v>
      </c>
      <c r="E300" s="25" t="s">
        <v>368</v>
      </c>
      <c r="F300" s="25" t="s">
        <v>379</v>
      </c>
      <c r="G300" s="25" t="s">
        <v>5</v>
      </c>
      <c r="H300" s="26" t="s">
        <v>891</v>
      </c>
      <c r="I300" s="27" t="s">
        <v>380</v>
      </c>
      <c r="J300" t="s">
        <v>328</v>
      </c>
      <c r="K300" t="s">
        <v>335</v>
      </c>
    </row>
    <row r="301" spans="1:11" ht="14.4">
      <c r="A301" s="22" t="str">
        <f>F301&amp;(COUNTIFS(F$2:F301,F301,K$2:K301,"Sparse"))</f>
        <v>SC8</v>
      </c>
      <c r="B301" s="22" t="str">
        <f>J301&amp;(COUNTIF(J$2:J301,J301))</f>
        <v>West Sussex7</v>
      </c>
      <c r="C301" t="s">
        <v>331</v>
      </c>
      <c r="D301" t="s">
        <v>331</v>
      </c>
      <c r="E301" s="25" t="s">
        <v>0</v>
      </c>
      <c r="F301" s="25" t="s">
        <v>387</v>
      </c>
      <c r="G301" s="25" t="s">
        <v>301</v>
      </c>
      <c r="H301" s="26" t="s">
        <v>892</v>
      </c>
      <c r="I301" s="27" t="s">
        <v>892</v>
      </c>
      <c r="J301" s="3" t="s">
        <v>331</v>
      </c>
    </row>
    <row r="302" spans="1:11" ht="14.4">
      <c r="A302" s="22" t="str">
        <f>F302&amp;(COUNTIFS(F$2:F302,F302,K$2:K302,"Sparse"))</f>
        <v>L0</v>
      </c>
      <c r="B302" s="22" t="str">
        <f>J302&amp;(COUNTIF(J$2:J302,J302))</f>
        <v>London33</v>
      </c>
      <c r="C302" t="s">
        <v>187</v>
      </c>
      <c r="D302" t="s">
        <v>187</v>
      </c>
      <c r="E302" s="25" t="s">
        <v>381</v>
      </c>
      <c r="F302" s="25" t="s">
        <v>358</v>
      </c>
      <c r="G302" s="25" t="s">
        <v>381</v>
      </c>
      <c r="H302" s="26" t="s">
        <v>382</v>
      </c>
      <c r="I302" s="27" t="s">
        <v>382</v>
      </c>
      <c r="J302" t="s">
        <v>381</v>
      </c>
    </row>
    <row r="303" spans="1:11" ht="14.4">
      <c r="A303" s="22" t="str">
        <f>F303&amp;(COUNTIFS(F$2:F303,F303,K$2:K303,"Sparse"))</f>
        <v>UA15</v>
      </c>
      <c r="B303" s="22" t="str">
        <f>J303&amp;(COUNTIF(J$2:J303,J303))</f>
        <v>Unitary58</v>
      </c>
      <c r="C303" t="s">
        <v>900</v>
      </c>
      <c r="D303" t="s">
        <v>900</v>
      </c>
      <c r="E303" s="25" t="s">
        <v>374</v>
      </c>
      <c r="F303" s="25" t="s">
        <v>385</v>
      </c>
      <c r="G303" s="25" t="s">
        <v>394</v>
      </c>
      <c r="H303" s="26" t="s">
        <v>891</v>
      </c>
      <c r="I303" s="27" t="s">
        <v>380</v>
      </c>
      <c r="J303" s="3" t="s">
        <v>394</v>
      </c>
      <c r="K303" t="s">
        <v>335</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C2:K318">
    <sortCondition ref="C2:C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198EF7C1-78D0-489C-A1C4-14775E1665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2024-03-19T15:45:10Z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